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E675CA89-2902-460B-AEFD-A2DB7609B4C2}" xr6:coauthVersionLast="47" xr6:coauthVersionMax="47" xr10:uidLastSave="{00000000-0000-0000-0000-000000000000}"/>
  <bookViews>
    <workbookView xWindow="45960" yWindow="-120" windowWidth="29040" windowHeight="15720" xr2:uid="{5A3551EE-A13B-4D78-AD1F-0E592BCEDDDA}"/>
  </bookViews>
  <sheets>
    <sheet name="BGS Cost &amp; Bid Factors" sheetId="1" r:id="rId1"/>
    <sheet name="Weighted Avg Price Calc" sheetId="2" r:id="rId2"/>
    <sheet name="Rate Calculations" sheetId="3" r:id="rId3"/>
    <sheet name="Usage By Season" sheetId="4" r:id="rId4"/>
    <sheet name="Backup Calcs" sheetId="5" r:id="rId5"/>
    <sheet name="Attachment D-4 (EY27-28)" sheetId="7" r:id="rId6"/>
    <sheet name="Attachment D-5 (EY28-29)" sheetId="8" r:id="rId7"/>
    <sheet name="Attachment D-6 (EY29-30)" sheetId="10" r:id="rId8"/>
    <sheet name="Attachment D-7" sheetId="9" r:id="rId9"/>
    <sheet name="Attachment D-8" sheetId="11" r:id="rId10"/>
  </sheets>
  <definedNames>
    <definedName name="\a" localSheetId="5">#REF!</definedName>
    <definedName name="\a" localSheetId="6">#REF!</definedName>
    <definedName name="\a" localSheetId="7">#REF!</definedName>
    <definedName name="\a">#REF!</definedName>
    <definedName name="\P">#REF!</definedName>
    <definedName name="__123Graph_B" hidden="1">#REF!</definedName>
    <definedName name="__123Graph_C" hidden="1">#REF!</definedName>
    <definedName name="__123Graph_D" hidden="1">#REF!</definedName>
    <definedName name="__123Graph_E" hidden="1">#REF!</definedName>
    <definedName name="__123Graph_F" hidden="1">#REF!</definedName>
    <definedName name="_DAT4">#REF!</definedName>
    <definedName name="_Fill" hidden="1">#REF!</definedName>
    <definedName name="_New2" localSheetId="8">#REF!</definedName>
    <definedName name="_New2" localSheetId="9">#REF!</definedName>
    <definedName name="_New2">#REF!</definedName>
    <definedName name="_New3" localSheetId="8">#REF!</definedName>
    <definedName name="_New3" localSheetId="9">#REF!</definedName>
    <definedName name="_New3">#REF!</definedName>
    <definedName name="_New4" localSheetId="8">#REF!</definedName>
    <definedName name="_New4" localSheetId="9">#REF!</definedName>
    <definedName name="_New4">#REF!</definedName>
    <definedName name="_Order1" hidden="1">255</definedName>
    <definedName name="_RA2004" localSheetId="8">#REF!</definedName>
    <definedName name="_RA2004" localSheetId="9">#REF!</definedName>
    <definedName name="_RA2004">#REF!</definedName>
    <definedName name="_RC101" localSheetId="8">#REF!</definedName>
    <definedName name="_RC101" localSheetId="9">#REF!</definedName>
    <definedName name="_RC101">#REF!</definedName>
    <definedName name="_RC201" localSheetId="8">#REF!</definedName>
    <definedName name="_RC201" localSheetId="9">#REF!</definedName>
    <definedName name="_RC201">#REF!</definedName>
    <definedName name="_RC401">#REF!</definedName>
    <definedName name="_RC501">#REF!</definedName>
    <definedName name="_Unb200301">#REF!</definedName>
    <definedName name="_Unb200302">#REF!</definedName>
    <definedName name="_Unb200303">#REF!</definedName>
    <definedName name="_Unb200304">#REF!</definedName>
    <definedName name="_Unb200305">#REF!</definedName>
    <definedName name="_Unb200306">#REF!</definedName>
    <definedName name="_Unb200307">#REF!</definedName>
    <definedName name="_Unb200308">#REF!</definedName>
    <definedName name="_Unb200309">#REF!</definedName>
    <definedName name="_Unb200310">#REF!</definedName>
    <definedName name="_Unb200311">#REF!</definedName>
    <definedName name="_Unb200312">#REF!</definedName>
    <definedName name="_Unb200401">#REF!</definedName>
    <definedName name="_Unb200402">#REF!</definedName>
    <definedName name="_Unb200403">#REF!</definedName>
    <definedName name="_Unb200404">#REF!</definedName>
    <definedName name="_Unb200405">#REF!</definedName>
    <definedName name="_Unb200406">#REF!</definedName>
    <definedName name="_Unb200407">#REF!</definedName>
    <definedName name="_Unb200408">#REF!</definedName>
    <definedName name="_Unb200409">#REF!</definedName>
    <definedName name="_Unb200410">#REF!</definedName>
    <definedName name="_Unb200411">#REF!</definedName>
    <definedName name="_Unb200412">#REF!</definedName>
    <definedName name="_Unb200501">#REF!</definedName>
    <definedName name="_Unb200502">#REF!</definedName>
    <definedName name="_Unb200503">#REF!</definedName>
    <definedName name="_Unb200504">#REF!</definedName>
    <definedName name="_Unb200505">#REF!</definedName>
    <definedName name="_Unb200506">#REF!</definedName>
    <definedName name="_Unb200507">#REF!</definedName>
    <definedName name="_Unb200508">#REF!</definedName>
    <definedName name="_Unb200509">#REF!</definedName>
    <definedName name="_Unb200510">#REF!</definedName>
    <definedName name="_Unb200511">#REF!</definedName>
    <definedName name="_Unb200512">#REF!</definedName>
    <definedName name="_Unb200601">#REF!</definedName>
    <definedName name="_Unb200602">#REF!</definedName>
    <definedName name="_Unb200603">#REF!</definedName>
    <definedName name="_Unb200604">#REF!</definedName>
    <definedName name="_Unb200605">#REF!</definedName>
    <definedName name="_Unb200606">#REF!</definedName>
    <definedName name="_Unb200607">#REF!</definedName>
    <definedName name="_Unb200608">#REF!</definedName>
    <definedName name="_Unb200609">#REF!</definedName>
    <definedName name="_Unb200610">#REF!</definedName>
    <definedName name="_Unb200611">#REF!</definedName>
    <definedName name="_Unb200612">#REF!</definedName>
    <definedName name="_Unb200701">#REF!</definedName>
    <definedName name="_Unb200702">#REF!</definedName>
    <definedName name="_Unb200703">#REF!</definedName>
    <definedName name="_Unb200704">#REF!</definedName>
    <definedName name="_Unb200705">#REF!</definedName>
    <definedName name="_Unb200706">#REF!</definedName>
    <definedName name="_Unb200707">#REF!</definedName>
    <definedName name="_Unb200708">#REF!</definedName>
    <definedName name="_Unb200709">#REF!</definedName>
    <definedName name="_Unb200710">#REF!</definedName>
    <definedName name="_Unb200711">#REF!</definedName>
    <definedName name="_Unb200712">#REF!</definedName>
    <definedName name="_Unb200801">#REF!</definedName>
    <definedName name="_Unb200802">#REF!</definedName>
    <definedName name="_Unb200803">#REF!</definedName>
    <definedName name="_Unb200804">#REF!</definedName>
    <definedName name="_Unb200805">#REF!</definedName>
    <definedName name="_Unb200806">#REF!</definedName>
    <definedName name="_Unb200807">#REF!</definedName>
    <definedName name="_Unb200808">#REF!</definedName>
    <definedName name="_Unb200809">#REF!</definedName>
    <definedName name="_Unb200810">#REF!</definedName>
    <definedName name="_Unb200811">#REF!</definedName>
    <definedName name="_Unb200812">#REF!</definedName>
    <definedName name="_Yr2003">#REF!</definedName>
    <definedName name="_Yr2004">#REF!</definedName>
    <definedName name="_Yr2005">#REF!</definedName>
    <definedName name="_Yr2006">#REF!</definedName>
    <definedName name="_Yr2007">#REF!</definedName>
    <definedName name="_Yr2008">#REF!</definedName>
    <definedName name="AdjAvg">#REF!</definedName>
    <definedName name="anscount" hidden="1">1</definedName>
    <definedName name="AvgRate" localSheetId="8">#REF!</definedName>
    <definedName name="AvgRate" localSheetId="9">#REF!</definedName>
    <definedName name="AvgRate">#REF!</definedName>
    <definedName name="Base" localSheetId="8">#REF!</definedName>
    <definedName name="Base" localSheetId="9">#REF!</definedName>
    <definedName name="Base">#REF!</definedName>
    <definedName name="BGS_Auction_Cost" localSheetId="8">#REF!</definedName>
    <definedName name="BGS_Auction_Cost" localSheetId="9">#REF!</definedName>
    <definedName name="BGS_Auction_Cost">#REF!</definedName>
    <definedName name="BGS_Forecast" localSheetId="8">#REF!</definedName>
    <definedName name="BGS_Forecast" localSheetId="9">#REF!</definedName>
    <definedName name="BGS_Forecast">#REF!</definedName>
    <definedName name="BGS_Rate" localSheetId="8">#REF!</definedName>
    <definedName name="BGS_Rate" localSheetId="9">#REF!</definedName>
    <definedName name="BGS_Rate">#REF!</definedName>
    <definedName name="Bill_yr101" localSheetId="8">#REF!</definedName>
    <definedName name="Bill_yr101" localSheetId="9">#REF!</definedName>
    <definedName name="Bill_yr101">#REF!</definedName>
    <definedName name="Bill_yr102">#REF!</definedName>
    <definedName name="Bill_yr103">#REF!</definedName>
    <definedName name="Bill_yr104">#REF!</definedName>
    <definedName name="Bill_yr105">#REF!</definedName>
    <definedName name="Bill_yr106">#REF!</definedName>
    <definedName name="Bill_yr107">#REF!</definedName>
    <definedName name="Bill_yr108">#REF!</definedName>
    <definedName name="Bill_yr109">#REF!</definedName>
    <definedName name="Bill_yr110">#REF!</definedName>
    <definedName name="Bill_yr111">#REF!</definedName>
    <definedName name="Bill_yr112">#REF!</definedName>
    <definedName name="Bill_yr1key">#REF!</definedName>
    <definedName name="Bill_yr201">#REF!</definedName>
    <definedName name="Bill_yr202">#REF!</definedName>
    <definedName name="Bill_yr203">#REF!</definedName>
    <definedName name="Bill_yr204">#REF!</definedName>
    <definedName name="Bill_yr205">#REF!</definedName>
    <definedName name="Bill_yr206">#REF!</definedName>
    <definedName name="Bill_yr207">#REF!</definedName>
    <definedName name="Bill_yr208">#REF!</definedName>
    <definedName name="Bill_yr209">#REF!</definedName>
    <definedName name="Bill_yr210">#REF!</definedName>
    <definedName name="Bill_yr211">#REF!</definedName>
    <definedName name="Bill_yr212">#REF!</definedName>
    <definedName name="Bill_yr2key">#REF!</definedName>
    <definedName name="Bill_yr301">#REF!</definedName>
    <definedName name="Bill_yr302">#REF!</definedName>
    <definedName name="Bill_yr303">#REF!</definedName>
    <definedName name="Bill_yr304">#REF!</definedName>
    <definedName name="Bill_yr305">#REF!</definedName>
    <definedName name="Bill_yr306">#REF!</definedName>
    <definedName name="Bill_yr307">#REF!</definedName>
    <definedName name="Bill_yr308">#REF!</definedName>
    <definedName name="Bill_yr309">#REF!</definedName>
    <definedName name="Bill_yr310">#REF!</definedName>
    <definedName name="Bill_yr311">#REF!</definedName>
    <definedName name="Bill_yr312">#REF!</definedName>
    <definedName name="Bill_yr3key">#REF!</definedName>
    <definedName name="Bill_yr401">#REF!</definedName>
    <definedName name="Bill_yr402">#REF!</definedName>
    <definedName name="Bill_yr403">#REF!</definedName>
    <definedName name="Bill_yr404">#REF!</definedName>
    <definedName name="Bill_yr405">#REF!</definedName>
    <definedName name="Bill_yr406">#REF!</definedName>
    <definedName name="Bill_yr407">#REF!</definedName>
    <definedName name="Bill_yr408">#REF!</definedName>
    <definedName name="Bill_yr409">#REF!</definedName>
    <definedName name="Bill_yr410">#REF!</definedName>
    <definedName name="Bill_yr411">#REF!</definedName>
    <definedName name="Bill_yr412">#REF!</definedName>
    <definedName name="Bill_yr4key">#REF!</definedName>
    <definedName name="Bill_yr501">#REF!</definedName>
    <definedName name="Bill_yr502">#REF!</definedName>
    <definedName name="Bill_yr503">#REF!</definedName>
    <definedName name="Bill_yr504">#REF!</definedName>
    <definedName name="Bill_yr505">#REF!</definedName>
    <definedName name="Bill_yr506">#REF!</definedName>
    <definedName name="Bill_yr507">#REF!</definedName>
    <definedName name="Bill_yr508">#REF!</definedName>
    <definedName name="Bill_yr509">#REF!</definedName>
    <definedName name="Bill_yr510">#REF!</definedName>
    <definedName name="Bill_yr511">#REF!</definedName>
    <definedName name="Bill_yr512">#REF!</definedName>
    <definedName name="Bill_yr5key">#REF!</definedName>
    <definedName name="Bill_yr601">#REF!</definedName>
    <definedName name="Bill_yr602">#REF!</definedName>
    <definedName name="Bill_yr603">#REF!</definedName>
    <definedName name="Bill_yr604">#REF!</definedName>
    <definedName name="Bill_yr605">#REF!</definedName>
    <definedName name="Bill_yr606">#REF!</definedName>
    <definedName name="Bill_yr607">#REF!</definedName>
    <definedName name="Bill_yr608">#REF!</definedName>
    <definedName name="Bill_yr609">#REF!</definedName>
    <definedName name="Bill_yr610">#REF!</definedName>
    <definedName name="Bill_yr611">#REF!</definedName>
    <definedName name="Bill_yr612">#REF!</definedName>
    <definedName name="Bill_yr6key">#REF!</definedName>
    <definedName name="Bill_yr701">#REF!</definedName>
    <definedName name="Bill_yr702">#REF!</definedName>
    <definedName name="Bill_yr703">#REF!</definedName>
    <definedName name="Bill_yr704">#REF!</definedName>
    <definedName name="Bill_yr705">#REF!</definedName>
    <definedName name="Bill_yr706">#REF!</definedName>
    <definedName name="Bill_yr707">#REF!</definedName>
    <definedName name="Bill_yr708">#REF!</definedName>
    <definedName name="Bill_yr709">#REF!</definedName>
    <definedName name="Bill_yr710">#REF!</definedName>
    <definedName name="Bill_yr711">#REF!</definedName>
    <definedName name="Bill_yr712">#REF!</definedName>
    <definedName name="Bill_yr7key">#REF!</definedName>
    <definedName name="BilledLMRev">#REF!</definedName>
    <definedName name="BilledLMSales">#REF!</definedName>
    <definedName name="BilledLMWalkCode">#REF!</definedName>
    <definedName name="BilledLYTDRev" localSheetId="8">#REF!</definedName>
    <definedName name="BilledLYTDRev" localSheetId="9">#REF!</definedName>
    <definedName name="BilledLYTDRev">#REF!</definedName>
    <definedName name="BilledLYTDSales" localSheetId="8">#REF!</definedName>
    <definedName name="BilledLYTDSales" localSheetId="9">#REF!</definedName>
    <definedName name="BilledLYTDSales">#REF!</definedName>
    <definedName name="BilledLYTDWalkCode" localSheetId="8">#REF!</definedName>
    <definedName name="BilledLYTDWalkCode" localSheetId="9">#REF!</definedName>
    <definedName name="BilledLYTDWalkCode">#REF!</definedName>
    <definedName name="BilledSC" localSheetId="8">#REF!</definedName>
    <definedName name="BilledSC" localSheetId="9">#REF!</definedName>
    <definedName name="BilledSC">#REF!</definedName>
    <definedName name="BilledTMRev">#REF!</definedName>
    <definedName name="BilledTMSales">#REF!</definedName>
    <definedName name="BilledTMWalkCode">#REF!</definedName>
    <definedName name="BilledTYTDRev" localSheetId="8">#REF!</definedName>
    <definedName name="BilledTYTDRev" localSheetId="9">#REF!</definedName>
    <definedName name="BilledTYTDRev">#REF!</definedName>
    <definedName name="BilledTYTDSales" localSheetId="8">#REF!</definedName>
    <definedName name="BilledTYTDSales" localSheetId="9">#REF!</definedName>
    <definedName name="BilledTYTDSales">#REF!</definedName>
    <definedName name="BilledTYTDWalkCode" localSheetId="8">#REF!</definedName>
    <definedName name="BilledTYTDWalkCode" localSheetId="9">#REF!</definedName>
    <definedName name="BilledTYTDWalkCode">#REF!</definedName>
    <definedName name="Black_Box">#REF!</definedName>
    <definedName name="BLE_Close_Date">#REF!</definedName>
    <definedName name="BLE_Resid">#REF!</definedName>
    <definedName name="BLE_Strand">#REF!</definedName>
    <definedName name="BLEwd">#REF!</definedName>
    <definedName name="BPU_Assessment">#REF!</definedName>
    <definedName name="CBT" localSheetId="8">#REF!</definedName>
    <definedName name="CBT" localSheetId="9">#REF!</definedName>
    <definedName name="CBT">#REF!</definedName>
    <definedName name="CEP" localSheetId="8">#REF!</definedName>
    <definedName name="CEP" localSheetId="9">#REF!</definedName>
    <definedName name="CEP">#REF!</definedName>
    <definedName name="CEP_Amortization" localSheetId="8">#REF!</definedName>
    <definedName name="CEP_Amortization" localSheetId="9">#REF!</definedName>
    <definedName name="CEP_Amortization">#REF!</definedName>
    <definedName name="Co_letter" localSheetId="5">#REF!</definedName>
    <definedName name="Co_letter" localSheetId="6">#REF!</definedName>
    <definedName name="Co_letter" localSheetId="7">#REF!</definedName>
    <definedName name="Co_letter">#REF!</definedName>
    <definedName name="Co_List" localSheetId="5">#REF!</definedName>
    <definedName name="Co_List" localSheetId="6">#REF!</definedName>
    <definedName name="Co_List" localSheetId="7">#REF!</definedName>
    <definedName name="Co_List">#REF!</definedName>
    <definedName name="Co_Listc" localSheetId="5">#REF!</definedName>
    <definedName name="Co_Listc" localSheetId="6">#REF!</definedName>
    <definedName name="Co_Listc" localSheetId="7">#REF!</definedName>
    <definedName name="Co_Listc">#REF!</definedName>
    <definedName name="Co_Name" localSheetId="5">#REF!</definedName>
    <definedName name="Co_Name" localSheetId="6">#REF!</definedName>
    <definedName name="Co_Name" localSheetId="7">#REF!</definedName>
    <definedName name="Co_Name">#REF!</definedName>
    <definedName name="Co_Picked" localSheetId="5">#REF!</definedName>
    <definedName name="Co_Picked" localSheetId="6">#REF!</definedName>
    <definedName name="Co_Picked" localSheetId="7">#REF!</definedName>
    <definedName name="Co_Picked">#REF!</definedName>
    <definedName name="COGEN">#REF!</definedName>
    <definedName name="CombRate" localSheetId="8">#REF!</definedName>
    <definedName name="CombRate" localSheetId="9">#REF!</definedName>
    <definedName name="CombRate">#REF!</definedName>
    <definedName name="Composite_Tax_Rate">#REF!</definedName>
    <definedName name="currentedc">#REF!</definedName>
    <definedName name="Curve_Date">#REF!</definedName>
    <definedName name="Cust">#REF!</definedName>
    <definedName name="CustLMAccts">#REF!</definedName>
    <definedName name="CustLMWalkCode">#REF!</definedName>
    <definedName name="CustTMAccts">#REF!</definedName>
    <definedName name="CustTMWalkCode">#REF!</definedName>
    <definedName name="DataTable" localSheetId="8">#REF!</definedName>
    <definedName name="DataTable" localSheetId="9">#REF!</definedName>
    <definedName name="DataTable">#REF!</definedName>
    <definedName name="Decommissioning_Rate">#REF!</definedName>
    <definedName name="Deferral_Interest_Rate">#REF!</definedName>
    <definedName name="Deferral_Recovery">#REF!</definedName>
    <definedName name="Deferral_Sec_Date">#REF!</definedName>
    <definedName name="Distribution_Rate_Adjustment" localSheetId="8">#REF!</definedName>
    <definedName name="Distribution_Rate_Adjustment" localSheetId="9">#REF!</definedName>
    <definedName name="Distribution_Rate_Adjustment">#REF!</definedName>
    <definedName name="DSM_Rate">#REF!</definedName>
    <definedName name="DSSAC">#REF!</definedName>
    <definedName name="ECA">#REF!</definedName>
    <definedName name="FB_CUSTOMERS">#REF!</definedName>
    <definedName name="FB_LINES">#REF!</definedName>
    <definedName name="FCA">#REF!</definedName>
    <definedName name="Federal_Tax_Rate">#REF!</definedName>
    <definedName name="FilterBilled2" localSheetId="8">#REF!</definedName>
    <definedName name="FilterBilled2" localSheetId="9">#REF!</definedName>
    <definedName name="FilterBilled2">#REF!</definedName>
    <definedName name="Formulas8B22" localSheetId="8">#REF!</definedName>
    <definedName name="Formulas8B22" localSheetId="9">#REF!</definedName>
    <definedName name="Formulas8B22">#REF!</definedName>
    <definedName name="Fossil_BGS">#REF!</definedName>
    <definedName name="Fossil_Divest">#REF!</definedName>
    <definedName name="Fossil_Secur_Date">#REF!</definedName>
    <definedName name="Get_Co" localSheetId="5">#REF!</definedName>
    <definedName name="Get_Co" localSheetId="6">#REF!</definedName>
    <definedName name="Get_Co" localSheetId="7">#REF!</definedName>
    <definedName name="Get_Co" localSheetId="8">#REF!</definedName>
    <definedName name="Get_Co" localSheetId="9">#REF!</definedName>
    <definedName name="Get_Co">#REF!</definedName>
    <definedName name="Get_Mo" localSheetId="5">#REF!</definedName>
    <definedName name="Get_Mo" localSheetId="6">#REF!</definedName>
    <definedName name="Get_Mo" localSheetId="7">#REF!</definedName>
    <definedName name="Get_Mo">#REF!</definedName>
    <definedName name="Get_moc" localSheetId="5">#REF!</definedName>
    <definedName name="Get_moc" localSheetId="6">#REF!</definedName>
    <definedName name="Get_moc" localSheetId="7">#REF!</definedName>
    <definedName name="Get_moc">#REF!</definedName>
    <definedName name="goaway" localSheetId="8" hidden="1">{#N/A,#N/A,TRUE,"TAXPROV";#N/A,#N/A,TRUE,"FLOWTHRU";#N/A,#N/A,TRUE,"SCHEDULE M'S";#N/A,#N/A,TRUE,"PLANT M'S";#N/A,#N/A,TRUE,"TAXJE"}</definedName>
    <definedName name="goaway" localSheetId="9" hidden="1">{#N/A,#N/A,TRUE,"TAXPROV";#N/A,#N/A,TRUE,"FLOWTHRU";#N/A,#N/A,TRUE,"SCHEDULE M'S";#N/A,#N/A,TRUE,"PLANT M'S";#N/A,#N/A,TRUE,"TAXJE"}</definedName>
    <definedName name="goaway" hidden="1">{#N/A,#N/A,TRUE,"TAXPROV";#N/A,#N/A,TRUE,"FLOWTHRU";#N/A,#N/A,TRUE,"SCHEDULE M'S";#N/A,#N/A,TRUE,"PLANT M'S";#N/A,#N/A,TRUE,"TAXJE"}</definedName>
    <definedName name="GPURS">#REF!</definedName>
    <definedName name="GRT" localSheetId="8">#REF!</definedName>
    <definedName name="GRT" localSheetId="9">#REF!</definedName>
    <definedName name="GRT">#REF!</definedName>
    <definedName name="h" localSheetId="8">#REF!</definedName>
    <definedName name="h" localSheetId="9">#REF!</definedName>
    <definedName name="h">#REF!</definedName>
    <definedName name="HrsUse">#REF!</definedName>
    <definedName name="Include_OTRA_Kwhrs">#REF!</definedName>
    <definedName name="IncRate" localSheetId="8">#REF!</definedName>
    <definedName name="IncRate" localSheetId="9">#REF!</definedName>
    <definedName name="IncRate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Key">#REF!</definedName>
    <definedName name="KeyCon_Close_Date">#REF!</definedName>
    <definedName name="limcount" hidden="1">1</definedName>
    <definedName name="LMP">#REF!</definedName>
    <definedName name="LOCAL_MYSQL_DATE_FORMAT" localSheetId="5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6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7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8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9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Middletown" localSheetId="8">#REF!</definedName>
    <definedName name="Middletown" localSheetId="9">#REF!</definedName>
    <definedName name="Middletown">#REF!</definedName>
    <definedName name="MILESTONES_1" localSheetId="8">#REF!</definedName>
    <definedName name="MILESTONES_1" localSheetId="9">#REF!</definedName>
    <definedName name="MILESTONES_1">#REF!</definedName>
    <definedName name="MILESTONES_2">#REF!</definedName>
    <definedName name="Mo_List" localSheetId="5">#REF!</definedName>
    <definedName name="Mo_List" localSheetId="6">#REF!</definedName>
    <definedName name="Mo_List" localSheetId="7">#REF!</definedName>
    <definedName name="Mo_List">#REF!</definedName>
    <definedName name="Mo_Picked" localSheetId="5">#REF!</definedName>
    <definedName name="Mo_Picked" localSheetId="6">#REF!</definedName>
    <definedName name="Mo_Picked" localSheetId="7">#REF!</definedName>
    <definedName name="Mo_Picked">#REF!</definedName>
    <definedName name="ModelConstant">#REF!</definedName>
    <definedName name="ModelSC">#REF!</definedName>
    <definedName name="ModelSWdiff">#REF!</definedName>
    <definedName name="ModelVol">#REF!</definedName>
    <definedName name="month">#REF!</definedName>
    <definedName name="month1">#REF!</definedName>
    <definedName name="MTC">#REF!</definedName>
    <definedName name="MTC_Type" localSheetId="8">#REF!</definedName>
    <definedName name="MTC_Type" localSheetId="9">#REF!</definedName>
    <definedName name="MTC_Type">#REF!</definedName>
    <definedName name="New">#REF!</definedName>
    <definedName name="newCBT">#REF!</definedName>
    <definedName name="newDataTable">#REF!</definedName>
    <definedName name="newTEFA">#REF!</definedName>
    <definedName name="NUGS">#REF!</definedName>
    <definedName name="o" localSheetId="8">#REF!</definedName>
    <definedName name="o" localSheetId="9">#REF!</definedName>
    <definedName name="o">#REF!</definedName>
    <definedName name="opnrg3yr">#REF!</definedName>
    <definedName name="opnrgcst3yr">#REF!</definedName>
    <definedName name="PAGE1" localSheetId="8">#REF!</definedName>
    <definedName name="PAGE1" localSheetId="9">#REF!</definedName>
    <definedName name="PAGE1">#REF!</definedName>
    <definedName name="PAGE2" localSheetId="8">#REF!</definedName>
    <definedName name="PAGE2" localSheetId="9">#REF!</definedName>
    <definedName name="PAGE2">#REF!</definedName>
    <definedName name="PAGE4" localSheetId="8">#REF!</definedName>
    <definedName name="PAGE4" localSheetId="9">#REF!</definedName>
    <definedName name="PAGE4">#REF!</definedName>
    <definedName name="PAGE5">#REF!</definedName>
    <definedName name="pension">#REF!</definedName>
    <definedName name="PJMISO">#REF!</definedName>
    <definedName name="pknrg3yr">#REF!</definedName>
    <definedName name="pknrgcst3yr">#REF!</definedName>
    <definedName name="POLR" localSheetId="8">#REF!</definedName>
    <definedName name="POLR" localSheetId="9">#REF!</definedName>
    <definedName name="POLR">#REF!</definedName>
    <definedName name="PostTransReturn">#REF!</definedName>
    <definedName name="PPACOST">#REF!</definedName>
    <definedName name="PreTaxDebt">#REF!</definedName>
    <definedName name="PriceModel" localSheetId="8">#REF!</definedName>
    <definedName name="PriceModel" localSheetId="9">#REF!</definedName>
    <definedName name="PriceModel">#REF!</definedName>
    <definedName name="PricePerSales">IF(#REF!=0,"",ROUND(#REF!/#REF!,4))</definedName>
    <definedName name="PricePerSalesInput">IF(#REF!=0,"",ROUND(#REF!/#REF!,4))</definedName>
    <definedName name="_xlnm.Print_Area" localSheetId="5">'Attachment D-4 (EY27-28)'!$A$3:$I$25</definedName>
    <definedName name="_xlnm.Print_Area" localSheetId="6">'Attachment D-5 (EY28-29)'!$A$3:$J$25</definedName>
    <definedName name="_xlnm.Print_Area" localSheetId="7">'Attachment D-6 (EY29-30)'!$A$3:$I$25</definedName>
    <definedName name="_xlnm.Print_Area" localSheetId="8">'Attachment D-7'!$A$1:$N$52</definedName>
    <definedName name="_xlnm.Print_Area" localSheetId="9">'Attachment D-8'!$A$1:$N$52</definedName>
    <definedName name="_xlnm.Print_Area" localSheetId="4">'Backup Calcs'!$A$1:$S$108</definedName>
    <definedName name="_xlnm.Print_Area" localSheetId="0">'BGS Cost &amp; Bid Factors'!$A$1:$J$480</definedName>
    <definedName name="_xlnm.Print_Area" localSheetId="2">'Rate Calculations'!$A$1:$J$204</definedName>
    <definedName name="_xlnm.Print_Area" localSheetId="3">'Usage By Season'!$A$1:$I$58</definedName>
    <definedName name="_xlnm.Print_Area" localSheetId="1">'Weighted Avg Price Calc'!$A$1:$N$51</definedName>
    <definedName name="Print_Area_MI" localSheetId="5">#REF!</definedName>
    <definedName name="Print_Area_MI" localSheetId="6">#REF!</definedName>
    <definedName name="Print_Area_MI" localSheetId="7">#REF!</definedName>
    <definedName name="Print_Area_MI" localSheetId="8">#REF!</definedName>
    <definedName name="Print_Area_MI" localSheetId="9">#REF!</definedName>
    <definedName name="Print_Area_MI">#REF!</definedName>
    <definedName name="_xlnm.Print_Titles" localSheetId="2">'Rate Calculations'!$1:$4</definedName>
    <definedName name="Query1" localSheetId="8">#REF!</definedName>
    <definedName name="Query1" localSheetId="9">#REF!</definedName>
    <definedName name="Query1">#REF!</definedName>
    <definedName name="RA" localSheetId="8">#REF!</definedName>
    <definedName name="RA" localSheetId="9">#REF!</definedName>
    <definedName name="RA">#REF!</definedName>
    <definedName name="Rate_Cap_Off">#REF!</definedName>
    <definedName name="Rate_Reduction_Factor" localSheetId="8">#REF!</definedName>
    <definedName name="Rate_Reduction_Factor" localSheetId="9">#REF!</definedName>
    <definedName name="Rate_Reduction_Factor">#REF!</definedName>
    <definedName name="Rates" localSheetId="8">#REF!</definedName>
    <definedName name="Rates" localSheetId="9">#REF!</definedName>
    <definedName name="Rates">#REF!</definedName>
    <definedName name="Recover">#REF!</definedName>
    <definedName name="RESALE_CUSTOMERS" localSheetId="8">#REF!</definedName>
    <definedName name="RESALE_CUSTOMERS" localSheetId="9">#REF!</definedName>
    <definedName name="RESALE_CUSTOMERS">#REF!</definedName>
    <definedName name="RESALE_LINES">#REF!</definedName>
    <definedName name="Restructure_Amort">#REF!</definedName>
    <definedName name="RPA">#REF!</definedName>
    <definedName name="Rpt_Mo" localSheetId="5">#REF!</definedName>
    <definedName name="Rpt_Mo" localSheetId="6">#REF!</definedName>
    <definedName name="Rpt_Mo" localSheetId="7">#REF!</definedName>
    <definedName name="Rpt_Mo" localSheetId="8">#REF!</definedName>
    <definedName name="Rpt_Mo" localSheetId="9">#REF!</definedName>
    <definedName name="Rpt_Mo">#REF!</definedName>
    <definedName name="s" localSheetId="8">#REF!</definedName>
    <definedName name="s" localSheetId="9">#REF!</definedName>
    <definedName name="s">#REF!</definedName>
    <definedName name="Sales">#REF!</definedName>
    <definedName name="SBC" localSheetId="8">#REF!</definedName>
    <definedName name="SBC" localSheetId="9">#REF!</definedName>
    <definedName name="SBC">#REF!</definedName>
    <definedName name="SBC_Amort">#REF!</definedName>
    <definedName name="SC" localSheetId="8">#REF!</definedName>
    <definedName name="SC" localSheetId="9">#REF!</definedName>
    <definedName name="SC">#REF!</definedName>
    <definedName name="SSA" localSheetId="8">#REF!</definedName>
    <definedName name="SSA" localSheetId="9">#REF!</definedName>
    <definedName name="SSA">#REF!</definedName>
    <definedName name="State_Tax_Rate">#REF!</definedName>
    <definedName name="SummerWinter" localSheetId="8">#REF!</definedName>
    <definedName name="SummerWinter" localSheetId="9">#REF!</definedName>
    <definedName name="SummerWinter">#REF!</definedName>
    <definedName name="SUT" localSheetId="8">#REF!</definedName>
    <definedName name="SUT" localSheetId="9">#REF!</definedName>
    <definedName name="SUT">#REF!</definedName>
    <definedName name="SW">#REF!</definedName>
    <definedName name="Swap_Amort">#REF!</definedName>
    <definedName name="Tacx_Factor">#REF!</definedName>
    <definedName name="TaxBasis">#REF!</definedName>
    <definedName name="TBC" localSheetId="8">#REF!</definedName>
    <definedName name="TBC" localSheetId="9">#REF!</definedName>
    <definedName name="TBC">#REF!</definedName>
    <definedName name="TBCtax" localSheetId="8">#REF!</definedName>
    <definedName name="TBCtax" localSheetId="9">#REF!</definedName>
    <definedName name="TBCtax">#REF!</definedName>
    <definedName name="TEFA">#REF!</definedName>
    <definedName name="TOTAL_CUSTOMERS">#REF!</definedName>
    <definedName name="TOTAL_LINES">#REF!</definedName>
    <definedName name="transco">#REF!</definedName>
    <definedName name="transcosts">#REF!</definedName>
    <definedName name="UnB2003key" localSheetId="8">#REF!</definedName>
    <definedName name="UnB2003key" localSheetId="9">#REF!</definedName>
    <definedName name="UnB2003key">#REF!</definedName>
    <definedName name="UnB2004key" localSheetId="8">#REF!</definedName>
    <definedName name="UnB2004key" localSheetId="9">#REF!</definedName>
    <definedName name="UnB2004key">#REF!</definedName>
    <definedName name="UnB2005key" localSheetId="8">#REF!</definedName>
    <definedName name="UnB2005key" localSheetId="9">#REF!</definedName>
    <definedName name="UnB2005key">#REF!</definedName>
    <definedName name="UnB2006key">#REF!</definedName>
    <definedName name="UnB2007key">#REF!</definedName>
    <definedName name="UnB2008key">#REF!</definedName>
    <definedName name="UnbilledAdjLMRev">#REF!</definedName>
    <definedName name="UnbilledAdjLMSales">#REF!</definedName>
    <definedName name="UnbilledAdjLMWalkCode">#REF!</definedName>
    <definedName name="UnbilledAdjTMRev">#REF!</definedName>
    <definedName name="UnbilledAdjTMSales">#REF!</definedName>
    <definedName name="UnbilledAdjTMWalkCode">#REF!</definedName>
    <definedName name="UnBilledKey2003" localSheetId="8">#REF!</definedName>
    <definedName name="UnBilledKey2003" localSheetId="9">#REF!</definedName>
    <definedName name="UnBilledKey2003">#REF!</definedName>
    <definedName name="UnBilledKey2004" localSheetId="8">#REF!</definedName>
    <definedName name="UnBilledKey2004" localSheetId="9">#REF!</definedName>
    <definedName name="UnBilledKey2004">#REF!</definedName>
    <definedName name="UnBilledKey2005" localSheetId="8">#REF!</definedName>
    <definedName name="UnBilledKey2005" localSheetId="9">#REF!</definedName>
    <definedName name="UnBilledKey2005">#REF!</definedName>
    <definedName name="UnBilledKey2006">#REF!</definedName>
    <definedName name="UnBilledKey2007">#REF!</definedName>
    <definedName name="UnBilledKey2008">#REF!</definedName>
    <definedName name="UnbilledLMRev">#REF!</definedName>
    <definedName name="UnbilledLMSales">#REF!</definedName>
    <definedName name="UnbilledLMWalkCode">#REF!</definedName>
    <definedName name="UnbilledTMRev">#REF!</definedName>
    <definedName name="UnbilledTMSales">#REF!</definedName>
    <definedName name="UnbilledTMWalkCode">#REF!</definedName>
    <definedName name="ValidData" localSheetId="8">#REF!</definedName>
    <definedName name="ValidData" localSheetId="9">#REF!</definedName>
    <definedName name="ValidData">#REF!</definedName>
    <definedName name="what" localSheetId="8" hidden="1">{#N/A,#N/A,FALSE,"O&amp;M by processes";#N/A,#N/A,FALSE,"Elec Act vs Bud";#N/A,#N/A,FALSE,"G&amp;A";#N/A,#N/A,FALSE,"BGS";#N/A,#N/A,FALSE,"Res Cost"}</definedName>
    <definedName name="what" localSheetId="9" hidden="1">{#N/A,#N/A,FALSE,"O&amp;M by processes";#N/A,#N/A,FALSE,"Elec Act vs Bud";#N/A,#N/A,FALSE,"G&amp;A";#N/A,#N/A,FALSE,"BGS";#N/A,#N/A,FALSE,"Res Cost"}</definedName>
    <definedName name="what" hidden="1">{#N/A,#N/A,FALSE,"O&amp;M by processes";#N/A,#N/A,FALSE,"Elec Act vs Bud";#N/A,#N/A,FALSE,"G&amp;A";#N/A,#N/A,FALSE,"BGS";#N/A,#N/A,FALSE,"Res Cost"}</definedName>
    <definedName name="Whatwhat" localSheetId="8" hidden="1">{#N/A,#N/A,FALSE,"O&amp;M by processes";#N/A,#N/A,FALSE,"Elec Act vs Bud";#N/A,#N/A,FALSE,"G&amp;A";#N/A,#N/A,FALSE,"BGS";#N/A,#N/A,FALSE,"Res Cost"}</definedName>
    <definedName name="Whatwhat" localSheetId="9" hidden="1">{#N/A,#N/A,FALSE,"O&amp;M by processes";#N/A,#N/A,FALSE,"Elec Act vs Bud";#N/A,#N/A,FALSE,"G&amp;A";#N/A,#N/A,FALSE,"BGS";#N/A,#N/A,FALSE,"Res Cost"}</definedName>
    <definedName name="Whatwhat" hidden="1">{#N/A,#N/A,FALSE,"O&amp;M by processes";#N/A,#N/A,FALSE,"Elec Act vs Bud";#N/A,#N/A,FALSE,"G&amp;A";#N/A,#N/A,FALSE,"BGS";#N/A,#N/A,FALSE,"Res Cost"}</definedName>
    <definedName name="wrn.AGT." localSheetId="8" hidden="1">{"AGT",#N/A,FALSE,"Revenue"}</definedName>
    <definedName name="wrn.AGT." localSheetId="9" hidden="1">{"AGT",#N/A,FALSE,"Revenue"}</definedName>
    <definedName name="wrn.AGT." hidden="1">{"AGT",#N/A,FALSE,"Revenue"}</definedName>
    <definedName name="wrn.August._.1._.2003._.Rate._.Change." localSheetId="8" hidden="1">{"JFJ-1",#N/A,FALSE,"JFJ-1 Deferral Recovery Rate";"JFJ-2",#N/A,FALSE,"JFJ-2 NNC Rates";"JFJ-3",#N/A,FALSE,"JFJ-3 MTC Rate";"JFJ-4",#N/A,FALSE,"JFJ-4 CEP Rate";"JFJ-5",#N/A,FALSE,"JFJ-5 USF Rate";"JFJ-6",#N/A,FALSE,"JFJ-6 CRA Rate";"JFJ-7",#N/A,FALSE,"JFJ-7 2003 Rate Impact Summary";"JFJ-8",#N/A,FALSE,"ACE 25 Year Sales Forecast"}</definedName>
    <definedName name="wrn.August._.1._.2003._.Rate._.Change." localSheetId="9" hidden="1">{"JFJ-1",#N/A,FALSE,"JFJ-1 Deferral Recovery Rate";"JFJ-2",#N/A,FALSE,"JFJ-2 NNC Rates";"JFJ-3",#N/A,FALSE,"JFJ-3 MTC Rate";"JFJ-4",#N/A,FALSE,"JFJ-4 CEP Rate";"JFJ-5",#N/A,FALSE,"JFJ-5 USF Rate";"JFJ-6",#N/A,FALSE,"JFJ-6 CRA Rate";"JFJ-7",#N/A,FALSE,"JFJ-7 2003 Rate Impact Summary";"JFJ-8",#N/A,FALSE,"ACE 25 Year Sales Forecast"}</definedName>
    <definedName name="wrn.August._.1._.2003._.Rate._.Change." hidden="1">{"JFJ-1",#N/A,FALSE,"JFJ-1 Deferral Recovery Rate";"JFJ-2",#N/A,FALSE,"JFJ-2 NNC Rates";"JFJ-3",#N/A,FALSE,"JFJ-3 MTC Rate";"JFJ-4",#N/A,FALSE,"JFJ-4 CEP Rate";"JFJ-5",#N/A,FALSE,"JFJ-5 USF Rate";"JFJ-6",#N/A,FALSE,"JFJ-6 CRA Rate";"JFJ-7",#N/A,FALSE,"JFJ-7 2003 Rate Impact Summary";"JFJ-8",#N/A,FALSE,"ACE 25 Year Sales Forecast"}</definedName>
    <definedName name="wrn.August._.1._.Filing." localSheetId="8" hidden="1">{"2002 Scedule A Revenue Proof",#N/A,FALSE,"Schedule A";"2002 Rate Detail",#N/A,FALSE,"Schedule B";"2002 Light Rates Page 1",#N/A,FALSE,"Schedule B";"2002 Light Rates Page 2",#N/A,FALSE,"Schedule B";"Schedule C",#N/A,FALSE,"Schedule C"}</definedName>
    <definedName name="wrn.August._.1._.Filing." localSheetId="9" hidden="1">{"2002 Scedule A Revenue Proof",#N/A,FALSE,"Schedule A";"2002 Rate Detail",#N/A,FALSE,"Schedule B";"2002 Light Rates Page 1",#N/A,FALSE,"Schedule B";"2002 Light Rates Page 2",#N/A,FALSE,"Schedule B";"Schedule C",#N/A,FALSE,"Schedule C"}</definedName>
    <definedName name="wrn.August._.1._.Filing." hidden="1">{"2002 Scedule A Revenue Proof",#N/A,FALSE,"Schedule A";"2002 Rate Detail",#N/A,FALSE,"Schedule B";"2002 Light Rates Page 1",#N/A,FALSE,"Schedule B";"2002 Light Rates Page 2",#N/A,FALSE,"Schedule B";"Schedule C",#N/A,FALSE,"Schedule C"}</definedName>
    <definedName name="wrn.Basic." localSheetId="8" hidden="1">{#N/A,#N/A,FALSE,"O&amp;M by processes";#N/A,#N/A,FALSE,"Elec Act vs Bud";#N/A,#N/A,FALSE,"G&amp;A";#N/A,#N/A,FALSE,"BGS";#N/A,#N/A,FALSE,"Res Cost"}</definedName>
    <definedName name="wrn.Basic." localSheetId="9" hidden="1">{#N/A,#N/A,FALSE,"O&amp;M by processes";#N/A,#N/A,FALSE,"Elec Act vs Bud";#N/A,#N/A,FALSE,"G&amp;A";#N/A,#N/A,FALSE,"BGS";#N/A,#N/A,FALSE,"Res Cost"}</definedName>
    <definedName name="wrn.Basic." hidden="1">{#N/A,#N/A,FALSE,"O&amp;M by processes";#N/A,#N/A,FALSE,"Elec Act vs Bud";#N/A,#N/A,FALSE,"G&amp;A";#N/A,#N/A,FALSE,"BGS";#N/A,#N/A,FALSE,"Res Cost"}</definedName>
    <definedName name="wrn.Bill._.Comparisions." localSheetId="8" hidden="1">{"Page 1",#N/A,FALSE,"SC1";"Page 2",#N/A,FALSE,"SC1";"Page 3",#N/A,FALSE,"SC1";"Page 4",#N/A,FALSE,"SC1";"Page 5",#N/A,FALSE,"SC2 Pri";"Page 6",#N/A,FALSE,"SC2 Pri";"Page 7",#N/A,FALSE,"SC5";"Page 8",#N/A,FALSE,"SC7";"Page 9",#N/A,FALSE,"SC7";"Page 10",#N/A,FALSE,"SC7"}</definedName>
    <definedName name="wrn.Bill._.Comparisions." localSheetId="9" hidden="1">{"Page 1",#N/A,FALSE,"SC1";"Page 2",#N/A,FALSE,"SC1";"Page 3",#N/A,FALSE,"SC1";"Page 4",#N/A,FALSE,"SC1";"Page 5",#N/A,FALSE,"SC2 Pri";"Page 6",#N/A,FALSE,"SC2 Pri";"Page 7",#N/A,FALSE,"SC5";"Page 8",#N/A,FALSE,"SC7";"Page 9",#N/A,FALSE,"SC7";"Page 10",#N/A,FALSE,"SC7"}</definedName>
    <definedName name="wrn.Bill._.Comparisions." hidden="1">{"Page 1",#N/A,FALSE,"SC1";"Page 2",#N/A,FALSE,"SC1";"Page 3",#N/A,FALSE,"SC1";"Page 4",#N/A,FALSE,"SC1";"Page 5",#N/A,FALSE,"SC2 Pri";"Page 6",#N/A,FALSE,"SC2 Pri";"Page 7",#N/A,FALSE,"SC5";"Page 8",#N/A,FALSE,"SC7";"Page 9",#N/A,FALSE,"SC7";"Page 10",#N/A,FALSE,"SC7"}</definedName>
    <definedName name="wrn.Deferral._.Forecast." localSheetId="8" hidden="1">{"Summary Deferral Forecast",#N/A,FALSE,"Deferral Forecast";"BGS Deferral Forecast",#N/A,FALSE,"BGS Deferral";"NNC Deferral Forecast",#N/A,FALSE,"NNC Deferral";"MTCDeferralForecast",#N/A,FALSE,"MTC Deferral";"SBC Deferral Forecast",#N/A,FALSE,"SBC Deferral"}</definedName>
    <definedName name="wrn.Deferral._.Forecast." localSheetId="9" hidden="1">{"Summary Deferral Forecast",#N/A,FALSE,"Deferral Forecast";"BGS Deferral Forecast",#N/A,FALSE,"BGS Deferral";"NNC Deferral Forecast",#N/A,FALSE,"NNC Deferral";"MTCDeferralForecast",#N/A,FALSE,"MTC Deferral";"SBC Deferral Forecast",#N/A,FALSE,"SBC Deferral"}</definedName>
    <definedName name="wrn.Deferral._.Forecast." hidden="1">{"Summary Deferral Forecast",#N/A,FALSE,"Deferral Forecast";"BGS Deferral Forecast",#N/A,FALSE,"BGS Deferral";"NNC Deferral Forecast",#N/A,FALSE,"NNC Deferral";"MTCDeferralForecast",#N/A,FALSE,"MTC Deferral";"SBC Deferral Forecast",#N/A,FALSE,"SBC Deferral"}</definedName>
    <definedName name="wrn.Filing." localSheetId="8" hidden="1">{#N/A,#N/A,FALSE,"Summary";#N/A,#N/A,FALSE,"Unbundled Revenue Summary ";#N/A,#N/A,FALSE,"Unbundled Rev Summary with Tax";"August Rates with Tax",#N/A,FALSE,"Rate Class Detail";"August Revenue with Tax",#N/A,FALSE,"Rate Class Detail";"August Rates wo Tax",#N/A,FALSE,"Rate Class Detail with Tax";"August Revenue wo Tax",#N/A,FALSE,"Rate Class Detail with Tax"}</definedName>
    <definedName name="wrn.Filing." localSheetId="9" hidden="1">{#N/A,#N/A,FALSE,"Summary";#N/A,#N/A,FALSE,"Unbundled Revenue Summary ";#N/A,#N/A,FALSE,"Unbundled Rev Summary with Tax";"August Rates with Tax",#N/A,FALSE,"Rate Class Detail";"August Revenue with Tax",#N/A,FALSE,"Rate Class Detail";"August Rates wo Tax",#N/A,FALSE,"Rate Class Detail with Tax";"August Revenue wo Tax",#N/A,FALSE,"Rate Class Detail with Tax"}</definedName>
    <definedName name="wrn.Filing." hidden="1">{#N/A,#N/A,FALSE,"Summary";#N/A,#N/A,FALSE,"Unbundled Revenue Summary ";#N/A,#N/A,FALSE,"Unbundled Rev Summary with Tax";"August Rates with Tax",#N/A,FALSE,"Rate Class Detail";"August Revenue with Tax",#N/A,FALSE,"Rate Class Detail";"August Rates wo Tax",#N/A,FALSE,"Rate Class Detail with Tax";"August Revenue wo Tax",#N/A,FALSE,"Rate Class Detail with Tax"}</definedName>
    <definedName name="wrn.Filing._.Update." localSheetId="8" hidden="1">{"JFJ-1a",#N/A,FALSE,"JFJ-1a UROR";"JFJ-1",#N/A,FALSE,"JFJ-1";"JFJ-2 RS",#N/A,FALSE,"JFJ-2 RS";"JFJ-2 MGS Sec",#N/A,FALSE,"JFJ-2 MGS Sec";"JFJ-2 MGS Pri",#N/A,FALSE,"JFJ-2 MGS Pri";"JFJ-2 AGS Sec",#N/A,FALSE,"JFJ-2 AGS Sec";"JFJ-2 AGS Pri",#N/A,FALSE,"JFJ-2 AGS Pri";"JFJ-2 TGS Sub",#N/A,FALSE,"JFJ-2 TGS Sub Trans";"JFJ-2 TGS Trans",#N/A,FALSE,"JFJ-2 TGS Trans";"JFJ-2 SPL",#N/A,FALSE,"JFJ-2 SPL CSL DDC";"JFJ-3",#N/A,FALSE,"JFJ-3 RARC";"JFJ-4",#N/A,FALSE,"JFJ-4 Stand By Rate"}</definedName>
    <definedName name="wrn.Filing._.Update." localSheetId="9" hidden="1">{"JFJ-1a",#N/A,FALSE,"JFJ-1a UROR";"JFJ-1",#N/A,FALSE,"JFJ-1";"JFJ-2 RS",#N/A,FALSE,"JFJ-2 RS";"JFJ-2 MGS Sec",#N/A,FALSE,"JFJ-2 MGS Sec";"JFJ-2 MGS Pri",#N/A,FALSE,"JFJ-2 MGS Pri";"JFJ-2 AGS Sec",#N/A,FALSE,"JFJ-2 AGS Sec";"JFJ-2 AGS Pri",#N/A,FALSE,"JFJ-2 AGS Pri";"JFJ-2 TGS Sub",#N/A,FALSE,"JFJ-2 TGS Sub Trans";"JFJ-2 TGS Trans",#N/A,FALSE,"JFJ-2 TGS Trans";"JFJ-2 SPL",#N/A,FALSE,"JFJ-2 SPL CSL DDC";"JFJ-3",#N/A,FALSE,"JFJ-3 RARC";"JFJ-4",#N/A,FALSE,"JFJ-4 Stand By Rate"}</definedName>
    <definedName name="wrn.Filing._.Update." hidden="1">{"JFJ-1a",#N/A,FALSE,"JFJ-1a UROR";"JFJ-1",#N/A,FALSE,"JFJ-1";"JFJ-2 RS",#N/A,FALSE,"JFJ-2 RS";"JFJ-2 MGS Sec",#N/A,FALSE,"JFJ-2 MGS Sec";"JFJ-2 MGS Pri",#N/A,FALSE,"JFJ-2 MGS Pri";"JFJ-2 AGS Sec",#N/A,FALSE,"JFJ-2 AGS Sec";"JFJ-2 AGS Pri",#N/A,FALSE,"JFJ-2 AGS Pri";"JFJ-2 TGS Sub",#N/A,FALSE,"JFJ-2 TGS Sub Trans";"JFJ-2 TGS Trans",#N/A,FALSE,"JFJ-2 TGS Trans";"JFJ-2 SPL",#N/A,FALSE,"JFJ-2 SPL CSL DDC";"JFJ-3",#N/A,FALSE,"JFJ-3 RARC";"JFJ-4",#N/A,FALSE,"JFJ-4 Stand By Rate"}</definedName>
    <definedName name="wrn.HLP._.Detail." localSheetId="8" hidden="1">{"2002 - 2006 Detail Income Statement",#N/A,FALSE,"TUB Income Statement wo DW";"BGS Deferral",#N/A,FALSE,"BGS Deferral";"NNC Deferral",#N/A,FALSE,"NNC Deferral";"MTC Deferral",#N/A,FALSE,"MTC Deferral";#N/A,#N/A,FALSE,"Schedule D"}</definedName>
    <definedName name="wrn.HLP._.Detail." localSheetId="9" hidden="1">{"2002 - 2006 Detail Income Statement",#N/A,FALSE,"TUB Income Statement wo DW";"BGS Deferral",#N/A,FALSE,"BGS Deferral";"NNC Deferral",#N/A,FALSE,"NNC Deferral";"MTC Deferral",#N/A,FALSE,"MTC Deferral";#N/A,#N/A,FALSE,"Schedule D"}</definedName>
    <definedName name="wrn.HLP._.Detail." hidden="1">{"2002 - 2006 Detail Income Statement",#N/A,FALSE,"TUB Income Statement wo DW";"BGS Deferral",#N/A,FALSE,"BGS Deferral";"NNC Deferral",#N/A,FALSE,"NNC Deferral";"MTC Deferral",#N/A,FALSE,"MTC Deferral";#N/A,#N/A,FALSE,"Schedule D"}</definedName>
    <definedName name="wrn.Rate._.Tables." localSheetId="8" hidden="1">{"SC1 Rates",#N/A,FALSE,"SC1";"SC2 Pri Rates",#N/A,FALSE,"SC2 Pri";"SC2 Sec Rates",#N/A,FALSE,"SC2 Sec";"SC2 Non Demand Rates",#N/A,FALSE,"SC2 Non Demand";"SC5 Rates",#N/A,FALSE,"SC5";"SC7 Rates",#N/A,FALSE,"SC7"}</definedName>
    <definedName name="wrn.Rate._.Tables." localSheetId="9" hidden="1">{"SC1 Rates",#N/A,FALSE,"SC1";"SC2 Pri Rates",#N/A,FALSE,"SC2 Pri";"SC2 Sec Rates",#N/A,FALSE,"SC2 Sec";"SC2 Non Demand Rates",#N/A,FALSE,"SC2 Non Demand";"SC5 Rates",#N/A,FALSE,"SC5";"SC7 Rates",#N/A,FALSE,"SC7"}</definedName>
    <definedName name="wrn.Rate._.Tables." hidden="1">{"SC1 Rates",#N/A,FALSE,"SC1";"SC2 Pri Rates",#N/A,FALSE,"SC2 Pri";"SC2 Sec Rates",#N/A,FALSE,"SC2 Sec";"SC2 Non Demand Rates",#N/A,FALSE,"SC2 Non Demand";"SC5 Rates",#N/A,FALSE,"SC5";"SC7 Rates",#N/A,FALSE,"SC7"}</definedName>
    <definedName name="wrn.Revenue._.Analysis." localSheetId="8" hidden="1">{"High Level Summary",#N/A,FALSE,"High Level Summary";"Summary",#N/A,FALSE,"Summary";"Post Restructuring Revenue",#N/A,FALSE,"NEW RATE REV BY RATE CLASS";"Pre-Restructuring Revenue",#N/A,FALSE,"OLD RATE REV BY RATE CLASS";"1998 Sales",#N/A,FALSE,"NEW RATE REV BY RATE CLASS";"1999 Sales",#N/A,FALSE,"7 and 5 RATE REV BY RATE CLASS";"1999 7&amp;5 Revenue",#N/A,FALSE,"7 and 5 RATE REV BY RATE CLASS";"2000 Revenue",#N/A,FALSE,"2000 RATE REV BY RATE CLASS";"2001 Revenue",#N/A,FALSE,"2001 RATE REV BY RATE CLASS";"Post Restructuring Rates",#N/A,FALSE,"1999 NEW RATE SHAPING";"Pre-Restructuring Rates",#N/A,FALSE,"1999 OLD RATE SHAPING";"2000 Rates",#N/A,FALSE,"2000 NEW RATE SHAPING"}</definedName>
    <definedName name="wrn.Revenue._.Analysis." localSheetId="9" hidden="1">{"High Level Summary",#N/A,FALSE,"High Level Summary";"Summary",#N/A,FALSE,"Summary";"Post Restructuring Revenue",#N/A,FALSE,"NEW RATE REV BY RATE CLASS";"Pre-Restructuring Revenue",#N/A,FALSE,"OLD RATE REV BY RATE CLASS";"1998 Sales",#N/A,FALSE,"NEW RATE REV BY RATE CLASS";"1999 Sales",#N/A,FALSE,"7 and 5 RATE REV BY RATE CLASS";"1999 7&amp;5 Revenue",#N/A,FALSE,"7 and 5 RATE REV BY RATE CLASS";"2000 Revenue",#N/A,FALSE,"2000 RATE REV BY RATE CLASS";"2001 Revenue",#N/A,FALSE,"2001 RATE REV BY RATE CLASS";"Post Restructuring Rates",#N/A,FALSE,"1999 NEW RATE SHAPING";"Pre-Restructuring Rates",#N/A,FALSE,"1999 OLD RATE SHAPING";"2000 Rates",#N/A,FALSE,"2000 NEW RATE SHAPING"}</definedName>
    <definedName name="wrn.Revenue._.Analysis." hidden="1">{"High Level Summary",#N/A,FALSE,"High Level Summary";"Summary",#N/A,FALSE,"Summary";"Post Restructuring Revenue",#N/A,FALSE,"NEW RATE REV BY RATE CLASS";"Pre-Restructuring Revenue",#N/A,FALSE,"OLD RATE REV BY RATE CLASS";"1998 Sales",#N/A,FALSE,"NEW RATE REV BY RATE CLASS";"1999 Sales",#N/A,FALSE,"7 and 5 RATE REV BY RATE CLASS";"1999 7&amp;5 Revenue",#N/A,FALSE,"7 and 5 RATE REV BY RATE CLASS";"2000 Revenue",#N/A,FALSE,"2000 RATE REV BY RATE CLASS";"2001 Revenue",#N/A,FALSE,"2001 RATE REV BY RATE CLASS";"Post Restructuring Rates",#N/A,FALSE,"1999 NEW RATE SHAPING";"Pre-Restructuring Rates",#N/A,FALSE,"1999 OLD RATE SHAPING";"2000 Rates",#N/A,FALSE,"2000 NEW RATE SHAPING"}</definedName>
    <definedName name="wrn.SC9._.RD." localSheetId="8" hidden="1">{"SC9 Curr Rates",#N/A,TRUE,"SC9 Curr Rates";"Total Curr Sales and Rev",#N/A,TRUE,"SC9 Alloc Sales Rev";"CL SC9 Sales and Rev",#N/A,TRUE,"SC9  CL";"No CL SC9 Sales and Rev",#N/A,TRUE,"SC9  No CL";"SC9 1 M",#N/A,TRUE,"SC9 1";"SC9 2 M",#N/A,TRUE,"SC9 2";"SC9 3 M",#N/A,TRUE,"SC9 3";"SC9 4 M",#N/A,TRUE,"SC9 4";"SC9 5 M",#N/A,TRUE,"SC9 5";"SC9 1 C",#N/A,TRUE,"SC9 1 (2)";"SC9 2 C",#N/A,TRUE,"SC9 2 (2)";"SC9 3 C",#N/A,TRUE,"SC9 3 (2)";"SC9 4 C",#N/A,TRUE,"SC9 4 (2)";"SC9 5 C",#N/A,TRUE,"SC9 5 (2)";"SC3 EDP",#N/A,TRUE,"SC3 EDP"}</definedName>
    <definedName name="wrn.SC9._.RD." localSheetId="9" hidden="1">{"SC9 Curr Rates",#N/A,TRUE,"SC9 Curr Rates";"Total Curr Sales and Rev",#N/A,TRUE,"SC9 Alloc Sales Rev";"CL SC9 Sales and Rev",#N/A,TRUE,"SC9  CL";"No CL SC9 Sales and Rev",#N/A,TRUE,"SC9  No CL";"SC9 1 M",#N/A,TRUE,"SC9 1";"SC9 2 M",#N/A,TRUE,"SC9 2";"SC9 3 M",#N/A,TRUE,"SC9 3";"SC9 4 M",#N/A,TRUE,"SC9 4";"SC9 5 M",#N/A,TRUE,"SC9 5";"SC9 1 C",#N/A,TRUE,"SC9 1 (2)";"SC9 2 C",#N/A,TRUE,"SC9 2 (2)";"SC9 3 C",#N/A,TRUE,"SC9 3 (2)";"SC9 4 C",#N/A,TRUE,"SC9 4 (2)";"SC9 5 C",#N/A,TRUE,"SC9 5 (2)";"SC3 EDP",#N/A,TRUE,"SC3 EDP"}</definedName>
    <definedName name="wrn.SC9._.RD." hidden="1">{"SC9 Curr Rates",#N/A,TRUE,"SC9 Curr Rates";"Total Curr Sales and Rev",#N/A,TRUE,"SC9 Alloc Sales Rev";"CL SC9 Sales and Rev",#N/A,TRUE,"SC9  CL";"No CL SC9 Sales and Rev",#N/A,TRUE,"SC9  No CL";"SC9 1 M",#N/A,TRUE,"SC9 1";"SC9 2 M",#N/A,TRUE,"SC9 2";"SC9 3 M",#N/A,TRUE,"SC9 3";"SC9 4 M",#N/A,TRUE,"SC9 4";"SC9 5 M",#N/A,TRUE,"SC9 5";"SC9 1 C",#N/A,TRUE,"SC9 1 (2)";"SC9 2 C",#N/A,TRUE,"SC9 2 (2)";"SC9 3 C",#N/A,TRUE,"SC9 3 (2)";"SC9 4 C",#N/A,TRUE,"SC9 4 (2)";"SC9 5 C",#N/A,TRUE,"SC9 5 (2)";"SC3 EDP",#N/A,TRUE,"SC3 EDP"}</definedName>
    <definedName name="wrn.Settlement._.Analysis." localSheetId="8" hidden="1">{"Assumptions",#N/A,FALSE,"Assumptions";"2003 - 2007 Summary",#N/A,FALSE,"Income Statement";"Summary Deferral Forecast",#N/A,FALSE,"Deferral Forecast"}</definedName>
    <definedName name="wrn.Settlement._.Analysis." localSheetId="9" hidden="1">{"Assumptions",#N/A,FALSE,"Assumptions";"2003 - 2007 Summary",#N/A,FALSE,"Income Statement";"Summary Deferral Forecast",#N/A,FALSE,"Deferral Forecast"}</definedName>
    <definedName name="wrn.Settlement._.Analysis." hidden="1">{"Assumptions",#N/A,FALSE,"Assumptions";"2003 - 2007 Summary",#N/A,FALSE,"Income Statement";"Summary Deferral Forecast",#N/A,FALSE,"Deferral Forecast"}</definedName>
    <definedName name="wrn.Settlement._.RD." localSheetId="8" hidden="1">{"Sales Rev",#N/A,FALSE,"Sales &amp; Rev";"SC1 1",#N/A,FALSE,"SC1 1";"SC1 2",#N/A,FALSE,"SC1 2";"SC19 1",#N/A,FALSE,"SC19 1";"SC19 2",#N/A,FALSE,"SC19 2";"SC2 1",#N/A,FALSE,"SC2 1";"SC2 2",#N/A,FALSE,"SC2 2";"SC20 1",#N/A,FALSE,"SC20 1";"SC29 2",#N/A,FALSE,"SC20 2";"SC3 1",#N/A,FALSE,"SC3 1";"SC3 2",#N/A,FALSE,"SC3 2";"SC21 1",#N/A,FALSE,"SC21 1";"SC21 2",#N/A,FALSE,"SC21 2";"SC9 Curr Rates",#N/A,FALSE,"SC9 Curr Rates";"Total Curr Sales and Rev",#N/A,FALSE,"SC9 Alloc Sales Rev";"CL SC9 Sales and Rev",#N/A,FALSE,"SC9  CL";"No CL SC9 Sales and Rev",#N/A,FALSE,"SC9  No CL";"SC9 1 M",#N/A,FALSE,"SC9 1";"SC9 2 M",#N/A,FALSE,"SC9 2";"SC9 3 M",#N/A,FALSE,"SC9 3";"SC9 4 M",#N/A,FALSE,"SC9 4";"SC9 5 M",#N/A,FALSE,"SC9 5";"SC9 1 C",#N/A,FALSE,"SC9 1 (2)";"SC9 2 C",#N/A,FALSE,"SC9 2 (2)";"SC9 3 C",#N/A,FALSE,"SC9 3 (2)";"SC9 4 C",#N/A,FALSE,"SC9 4 (2)";"SC9 5 C",#N/A,FALSE,"SC9 5 (2)";"SC2 EDP",#N/A,FALSE,"SC2 EDP";"SC3 EDP",#N/A,FALSE,"SC3 EDP";"EDP Pri",#N/A,FALSE,"EDP Pri";"EDP Sub",#N/A,FALSE,"EDP Sub";"EDP Trans",#N/A,FALSE,"EDP Trans";"Rev Change Summary",#N/A,FALSE,"Summary Tot Rev Chg";"current",#N/A,FALSE,"Prop v Curr";"proposed",#N/A,FALSE,"Prop v Curr";"change",#N/A,FALSE,"Prop v Curr"}</definedName>
    <definedName name="wrn.Settlement._.RD." localSheetId="9" hidden="1">{"Sales Rev",#N/A,FALSE,"Sales &amp; Rev";"SC1 1",#N/A,FALSE,"SC1 1";"SC1 2",#N/A,FALSE,"SC1 2";"SC19 1",#N/A,FALSE,"SC19 1";"SC19 2",#N/A,FALSE,"SC19 2";"SC2 1",#N/A,FALSE,"SC2 1";"SC2 2",#N/A,FALSE,"SC2 2";"SC20 1",#N/A,FALSE,"SC20 1";"SC29 2",#N/A,FALSE,"SC20 2";"SC3 1",#N/A,FALSE,"SC3 1";"SC3 2",#N/A,FALSE,"SC3 2";"SC21 1",#N/A,FALSE,"SC21 1";"SC21 2",#N/A,FALSE,"SC21 2";"SC9 Curr Rates",#N/A,FALSE,"SC9 Curr Rates";"Total Curr Sales and Rev",#N/A,FALSE,"SC9 Alloc Sales Rev";"CL SC9 Sales and Rev",#N/A,FALSE,"SC9  CL";"No CL SC9 Sales and Rev",#N/A,FALSE,"SC9  No CL";"SC9 1 M",#N/A,FALSE,"SC9 1";"SC9 2 M",#N/A,FALSE,"SC9 2";"SC9 3 M",#N/A,FALSE,"SC9 3";"SC9 4 M",#N/A,FALSE,"SC9 4";"SC9 5 M",#N/A,FALSE,"SC9 5";"SC9 1 C",#N/A,FALSE,"SC9 1 (2)";"SC9 2 C",#N/A,FALSE,"SC9 2 (2)";"SC9 3 C",#N/A,FALSE,"SC9 3 (2)";"SC9 4 C",#N/A,FALSE,"SC9 4 (2)";"SC9 5 C",#N/A,FALSE,"SC9 5 (2)";"SC2 EDP",#N/A,FALSE,"SC2 EDP";"SC3 EDP",#N/A,FALSE,"SC3 EDP";"EDP Pri",#N/A,FALSE,"EDP Pri";"EDP Sub",#N/A,FALSE,"EDP Sub";"EDP Trans",#N/A,FALSE,"EDP Trans";"Rev Change Summary",#N/A,FALSE,"Summary Tot Rev Chg";"current",#N/A,FALSE,"Prop v Curr";"proposed",#N/A,FALSE,"Prop v Curr";"change",#N/A,FALSE,"Prop v Curr"}</definedName>
    <definedName name="wrn.Settlement._.RD." hidden="1">{"Sales Rev",#N/A,FALSE,"Sales &amp; Rev";"SC1 1",#N/A,FALSE,"SC1 1";"SC1 2",#N/A,FALSE,"SC1 2";"SC19 1",#N/A,FALSE,"SC19 1";"SC19 2",#N/A,FALSE,"SC19 2";"SC2 1",#N/A,FALSE,"SC2 1";"SC2 2",#N/A,FALSE,"SC2 2";"SC20 1",#N/A,FALSE,"SC20 1";"SC29 2",#N/A,FALSE,"SC20 2";"SC3 1",#N/A,FALSE,"SC3 1";"SC3 2",#N/A,FALSE,"SC3 2";"SC21 1",#N/A,FALSE,"SC21 1";"SC21 2",#N/A,FALSE,"SC21 2";"SC9 Curr Rates",#N/A,FALSE,"SC9 Curr Rates";"Total Curr Sales and Rev",#N/A,FALSE,"SC9 Alloc Sales Rev";"CL SC9 Sales and Rev",#N/A,FALSE,"SC9  CL";"No CL SC9 Sales and Rev",#N/A,FALSE,"SC9  No CL";"SC9 1 M",#N/A,FALSE,"SC9 1";"SC9 2 M",#N/A,FALSE,"SC9 2";"SC9 3 M",#N/A,FALSE,"SC9 3";"SC9 4 M",#N/A,FALSE,"SC9 4";"SC9 5 M",#N/A,FALSE,"SC9 5";"SC9 1 C",#N/A,FALSE,"SC9 1 (2)";"SC9 2 C",#N/A,FALSE,"SC9 2 (2)";"SC9 3 C",#N/A,FALSE,"SC9 3 (2)";"SC9 4 C",#N/A,FALSE,"SC9 4 (2)";"SC9 5 C",#N/A,FALSE,"SC9 5 (2)";"SC2 EDP",#N/A,FALSE,"SC2 EDP";"SC3 EDP",#N/A,FALSE,"SC3 EDP";"EDP Pri",#N/A,FALSE,"EDP Pri";"EDP Sub",#N/A,FALSE,"EDP Sub";"EDP Trans",#N/A,FALSE,"EDP Trans";"Rev Change Summary",#N/A,FALSE,"Summary Tot Rev Chg";"current",#N/A,FALSE,"Prop v Curr";"proposed",#N/A,FALSE,"Prop v Curr";"change",#N/A,FALSE,"Prop v Curr"}</definedName>
    <definedName name="wrn.Tax._.Accrual." localSheetId="8" hidden="1">{#N/A,#N/A,TRUE,"TAXPROV";#N/A,#N/A,TRUE,"FLOWTHRU";#N/A,#N/A,TRUE,"SCHEDULE M'S";#N/A,#N/A,TRUE,"PLANT M'S";#N/A,#N/A,TRUE,"TAXJE"}</definedName>
    <definedName name="wrn.Tax._.Accrual." localSheetId="9" hidden="1">{#N/A,#N/A,TRUE,"TAXPROV";#N/A,#N/A,TRUE,"FLOWTHRU";#N/A,#N/A,TRUE,"SCHEDULE M'S";#N/A,#N/A,TRUE,"PLANT M'S";#N/A,#N/A,TRUE,"TAXJE"}</definedName>
    <definedName name="wrn.Tax._.Accrual." hidden="1">{#N/A,#N/A,TRUE,"TAXPROV";#N/A,#N/A,TRUE,"FLOWTHRU";#N/A,#N/A,TRUE,"SCHEDULE M'S";#N/A,#N/A,TRUE,"PLANT M'S";#N/A,#N/A,TRUE,"TAXJE"}</definedName>
    <definedName name="wrn.TBC._.Update." localSheetId="8" hidden="1">{#N/A,#N/A,FALSE,"TABLE I";#N/A,#N/A,FALSE,"TBC Development";#N/A,#N/A,FALSE,"MTC -Tax Development";#N/A,#N/A,FALSE,"MTC - Tax descriptions";#N/A,#N/A,FALSE,"MTC -Tax True Up"}</definedName>
    <definedName name="wrn.TBC._.Update." localSheetId="9" hidden="1">{#N/A,#N/A,FALSE,"TABLE I";#N/A,#N/A,FALSE,"TBC Development";#N/A,#N/A,FALSE,"MTC -Tax Development";#N/A,#N/A,FALSE,"MTC - Tax descriptions";#N/A,#N/A,FALSE,"MTC -Tax True Up"}</definedName>
    <definedName name="wrn.TBC._.Update." hidden="1">{#N/A,#N/A,FALSE,"TABLE I";#N/A,#N/A,FALSE,"TBC Development";#N/A,#N/A,FALSE,"MTC -Tax Development";#N/A,#N/A,FALSE,"MTC - Tax descriptions";#N/A,#N/A,FALSE,"MTC -Tax True Up"}</definedName>
    <definedName name="Year">#REF!</definedName>
    <definedName name="Year1" localSheetId="5">#REF!</definedName>
    <definedName name="Year1" localSheetId="6">#REF!</definedName>
    <definedName name="Year1" localSheetId="7">#REF!</definedName>
    <definedName name="Year1" localSheetId="8">#REF!</definedName>
    <definedName name="Year1" localSheetId="9">#REF!</definedName>
    <definedName name="Year1">#REF!</definedName>
    <definedName name="Year4BGS" localSheetId="8">#REF!</definedName>
    <definedName name="Year4BGS" localSheetId="9">#REF!</definedName>
    <definedName name="Year4BG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42" i="11" l="1"/>
  <c r="K42" i="9"/>
  <c r="D10" i="11"/>
  <c r="E410" i="1" l="1"/>
  <c r="E411" i="1"/>
  <c r="E412" i="1"/>
  <c r="E413" i="1"/>
  <c r="E414" i="1"/>
  <c r="E415" i="1"/>
  <c r="E416" i="1"/>
  <c r="E417" i="1"/>
  <c r="E418" i="1"/>
  <c r="E419" i="1"/>
  <c r="E420" i="1"/>
  <c r="D410" i="1"/>
  <c r="D411" i="1"/>
  <c r="D412" i="1"/>
  <c r="D413" i="1"/>
  <c r="D44" i="11" l="1"/>
  <c r="D41" i="11"/>
  <c r="G16" i="11"/>
  <c r="C17" i="10"/>
  <c r="C10" i="10"/>
  <c r="D44" i="9"/>
  <c r="D41" i="9"/>
  <c r="G16" i="9"/>
  <c r="D10" i="9"/>
  <c r="D17" i="8"/>
  <c r="C17" i="8"/>
  <c r="D10" i="8"/>
  <c r="C10" i="8"/>
  <c r="D8" i="8"/>
  <c r="D7" i="8"/>
  <c r="D6" i="8"/>
  <c r="C17" i="7"/>
  <c r="C10" i="7"/>
  <c r="F106" i="5"/>
  <c r="E106" i="5"/>
  <c r="G105" i="5"/>
  <c r="B90" i="5"/>
  <c r="P89" i="5"/>
  <c r="N87" i="5"/>
  <c r="B85" i="5"/>
  <c r="B84" i="5"/>
  <c r="B82" i="5"/>
  <c r="D80" i="5"/>
  <c r="N79" i="5"/>
  <c r="G70" i="5"/>
  <c r="G69" i="5"/>
  <c r="G68" i="5"/>
  <c r="G66" i="5"/>
  <c r="G65" i="5"/>
  <c r="G64" i="5"/>
  <c r="G63" i="5"/>
  <c r="G62" i="5"/>
  <c r="G60" i="5"/>
  <c r="G59" i="5"/>
  <c r="B50" i="5"/>
  <c r="N43" i="5"/>
  <c r="B87" i="5"/>
  <c r="N41" i="5"/>
  <c r="P37" i="5"/>
  <c r="B80" i="5"/>
  <c r="B79" i="5"/>
  <c r="P18" i="5"/>
  <c r="P44" i="5" s="1"/>
  <c r="N18" i="5"/>
  <c r="G18" i="5"/>
  <c r="F18" i="5" s="1"/>
  <c r="F44" i="5" s="1"/>
  <c r="B18" i="5"/>
  <c r="C18" i="5" s="1"/>
  <c r="C44" i="5" s="1"/>
  <c r="N17" i="5"/>
  <c r="N88" i="5" s="1"/>
  <c r="G17" i="5"/>
  <c r="B17" i="5"/>
  <c r="N16" i="5"/>
  <c r="N42" i="5" s="1"/>
  <c r="N15" i="5"/>
  <c r="N86" i="5" s="1"/>
  <c r="G15" i="5"/>
  <c r="P14" i="5"/>
  <c r="N13" i="5"/>
  <c r="B13" i="5"/>
  <c r="E25" i="5"/>
  <c r="P11" i="5"/>
  <c r="P82" i="5" s="1"/>
  <c r="G11" i="5"/>
  <c r="F11" i="5"/>
  <c r="F37" i="5" s="1"/>
  <c r="B11" i="5"/>
  <c r="P10" i="5"/>
  <c r="P9" i="5"/>
  <c r="N9" i="5"/>
  <c r="G9" i="5"/>
  <c r="F9" i="5"/>
  <c r="F35" i="5" s="1"/>
  <c r="B9" i="5"/>
  <c r="C9" i="5"/>
  <c r="D35" i="5" s="1"/>
  <c r="E35" i="5" s="1"/>
  <c r="P8" i="5"/>
  <c r="P79" i="5" s="1"/>
  <c r="N8" i="5"/>
  <c r="N34" i="5" s="1"/>
  <c r="G8" i="5"/>
  <c r="G34" i="4"/>
  <c r="E280" i="3"/>
  <c r="D279" i="3"/>
  <c r="K273" i="3"/>
  <c r="H273" i="3"/>
  <c r="R271" i="3"/>
  <c r="R270" i="3"/>
  <c r="R269" i="3"/>
  <c r="R268" i="3"/>
  <c r="R267" i="3"/>
  <c r="R266" i="3"/>
  <c r="R265" i="3"/>
  <c r="R264" i="3"/>
  <c r="R263" i="3"/>
  <c r="R262" i="3"/>
  <c r="R261" i="3"/>
  <c r="B261" i="3"/>
  <c r="B262" i="3" s="1"/>
  <c r="B263" i="3" s="1"/>
  <c r="B264" i="3" s="1"/>
  <c r="B265" i="3" s="1"/>
  <c r="B266" i="3" s="1"/>
  <c r="B267" i="3" s="1"/>
  <c r="B268" i="3" s="1"/>
  <c r="B269" i="3" s="1"/>
  <c r="B270" i="3" s="1"/>
  <c r="B271" i="3" s="1"/>
  <c r="U273" i="3"/>
  <c r="D283" i="3" s="1"/>
  <c r="E283" i="3" s="1"/>
  <c r="R260" i="3"/>
  <c r="O273" i="3"/>
  <c r="J273" i="3"/>
  <c r="D280" i="3" s="1"/>
  <c r="D273" i="3"/>
  <c r="H234" i="3"/>
  <c r="G233" i="3"/>
  <c r="F233" i="3"/>
  <c r="E233" i="3"/>
  <c r="D233" i="3"/>
  <c r="C233" i="3"/>
  <c r="H232" i="3"/>
  <c r="G232" i="3"/>
  <c r="F232" i="3"/>
  <c r="E232" i="3"/>
  <c r="D232" i="3"/>
  <c r="C232" i="3"/>
  <c r="H231" i="3"/>
  <c r="G231" i="3"/>
  <c r="F231" i="3"/>
  <c r="E231" i="3"/>
  <c r="C231" i="3"/>
  <c r="H230" i="3"/>
  <c r="G230" i="3"/>
  <c r="F230" i="3"/>
  <c r="E230" i="3"/>
  <c r="C230" i="3"/>
  <c r="D229" i="3"/>
  <c r="H226" i="3"/>
  <c r="G225" i="3"/>
  <c r="F225" i="3"/>
  <c r="E225" i="3"/>
  <c r="D225" i="3"/>
  <c r="C225" i="3"/>
  <c r="H224" i="3"/>
  <c r="G224" i="3"/>
  <c r="F224" i="3"/>
  <c r="E224" i="3"/>
  <c r="D224" i="3"/>
  <c r="C224" i="3"/>
  <c r="H223" i="3"/>
  <c r="G223" i="3"/>
  <c r="F223" i="3"/>
  <c r="E223" i="3"/>
  <c r="D223" i="3"/>
  <c r="H222" i="3"/>
  <c r="G222" i="3"/>
  <c r="F222" i="3"/>
  <c r="E222" i="3"/>
  <c r="D222" i="3"/>
  <c r="H221" i="3"/>
  <c r="G221" i="3"/>
  <c r="F221" i="3"/>
  <c r="E221" i="3"/>
  <c r="D221" i="3"/>
  <c r="H220" i="3"/>
  <c r="G220" i="3"/>
  <c r="F220" i="3"/>
  <c r="E220" i="3"/>
  <c r="C220" i="3"/>
  <c r="H219" i="3"/>
  <c r="G219" i="3"/>
  <c r="F219" i="3"/>
  <c r="E219" i="3"/>
  <c r="C219" i="3"/>
  <c r="D218" i="3"/>
  <c r="G209" i="3"/>
  <c r="F209" i="3"/>
  <c r="C209" i="3"/>
  <c r="I209" i="3" s="1"/>
  <c r="D208" i="3"/>
  <c r="D195" i="3"/>
  <c r="D194" i="3"/>
  <c r="D196" i="3" s="1"/>
  <c r="D190" i="3"/>
  <c r="D184" i="3"/>
  <c r="H167" i="3"/>
  <c r="G167" i="3"/>
  <c r="F167" i="3"/>
  <c r="E167" i="3"/>
  <c r="D167" i="3"/>
  <c r="C167" i="3"/>
  <c r="I141" i="3"/>
  <c r="I118" i="3"/>
  <c r="H118" i="3"/>
  <c r="G118" i="3"/>
  <c r="F118" i="3"/>
  <c r="E118" i="3"/>
  <c r="D118" i="3"/>
  <c r="C118" i="3"/>
  <c r="D104" i="3"/>
  <c r="D103" i="3"/>
  <c r="D100" i="3"/>
  <c r="D95" i="3"/>
  <c r="I78" i="3"/>
  <c r="H78" i="3"/>
  <c r="G78" i="3"/>
  <c r="F78" i="3"/>
  <c r="E78" i="3"/>
  <c r="D78" i="3"/>
  <c r="C78" i="3"/>
  <c r="I55" i="3"/>
  <c r="I208" i="3" s="1"/>
  <c r="H55" i="3"/>
  <c r="H208" i="3" s="1"/>
  <c r="G55" i="3"/>
  <c r="G208" i="3" s="1"/>
  <c r="F55" i="3"/>
  <c r="F208" i="3" s="1"/>
  <c r="E55" i="3"/>
  <c r="E208" i="3" s="1"/>
  <c r="D55" i="3"/>
  <c r="C55" i="3"/>
  <c r="C208" i="3" s="1"/>
  <c r="L48" i="3"/>
  <c r="D33" i="3"/>
  <c r="C33" i="3"/>
  <c r="H12" i="3"/>
  <c r="G12" i="3"/>
  <c r="F12" i="3"/>
  <c r="E12" i="3"/>
  <c r="D12" i="3"/>
  <c r="C12" i="3"/>
  <c r="D44" i="2"/>
  <c r="I42" i="2"/>
  <c r="D41" i="2"/>
  <c r="E14" i="2"/>
  <c r="F10" i="2" s="1"/>
  <c r="E10" i="9" s="1"/>
  <c r="E12" i="2"/>
  <c r="G9" i="2"/>
  <c r="F16" i="2" s="1"/>
  <c r="I586" i="1"/>
  <c r="H586" i="1"/>
  <c r="G586" i="1"/>
  <c r="F586" i="1"/>
  <c r="E586" i="1"/>
  <c r="D586" i="1"/>
  <c r="C586" i="1"/>
  <c r="I575" i="1"/>
  <c r="H575" i="1"/>
  <c r="G575" i="1"/>
  <c r="F575" i="1"/>
  <c r="E575" i="1"/>
  <c r="D575" i="1"/>
  <c r="C575" i="1"/>
  <c r="G561" i="1"/>
  <c r="F561" i="1"/>
  <c r="E561" i="1"/>
  <c r="D561" i="1"/>
  <c r="C561" i="1"/>
  <c r="H560" i="1"/>
  <c r="G560" i="1"/>
  <c r="F560" i="1"/>
  <c r="E560" i="1"/>
  <c r="D560" i="1"/>
  <c r="C560" i="1"/>
  <c r="H559" i="1"/>
  <c r="G559" i="1"/>
  <c r="F559" i="1"/>
  <c r="E559" i="1"/>
  <c r="C559" i="1"/>
  <c r="H558" i="1"/>
  <c r="G558" i="1"/>
  <c r="F558" i="1"/>
  <c r="E558" i="1"/>
  <c r="C558" i="1"/>
  <c r="D557" i="1"/>
  <c r="G554" i="1"/>
  <c r="F554" i="1"/>
  <c r="E554" i="1"/>
  <c r="D554" i="1"/>
  <c r="C554" i="1"/>
  <c r="H553" i="1"/>
  <c r="G553" i="1"/>
  <c r="F553" i="1"/>
  <c r="E553" i="1"/>
  <c r="D553" i="1"/>
  <c r="C553" i="1"/>
  <c r="H552" i="1"/>
  <c r="G552" i="1"/>
  <c r="F552" i="1"/>
  <c r="E552" i="1"/>
  <c r="D552" i="1"/>
  <c r="H551" i="1"/>
  <c r="G551" i="1"/>
  <c r="F551" i="1"/>
  <c r="E551" i="1"/>
  <c r="D551" i="1"/>
  <c r="H550" i="1"/>
  <c r="G550" i="1"/>
  <c r="F550" i="1"/>
  <c r="E550" i="1"/>
  <c r="D550" i="1"/>
  <c r="H549" i="1"/>
  <c r="G549" i="1"/>
  <c r="F549" i="1"/>
  <c r="E549" i="1"/>
  <c r="C549" i="1"/>
  <c r="H548" i="1"/>
  <c r="G548" i="1"/>
  <c r="F548" i="1"/>
  <c r="E548" i="1"/>
  <c r="C548" i="1"/>
  <c r="D547" i="1"/>
  <c r="H211" i="3"/>
  <c r="H210" i="3"/>
  <c r="I538" i="1"/>
  <c r="H209" i="3"/>
  <c r="E209" i="3"/>
  <c r="D209" i="3"/>
  <c r="I537" i="1"/>
  <c r="H537" i="1"/>
  <c r="G537" i="1"/>
  <c r="E537" i="1"/>
  <c r="I513" i="1"/>
  <c r="I491" i="1"/>
  <c r="H491" i="1"/>
  <c r="G491" i="1"/>
  <c r="F491" i="1"/>
  <c r="F537" i="1" s="1"/>
  <c r="E491" i="1"/>
  <c r="D491" i="1"/>
  <c r="D537" i="1" s="1"/>
  <c r="C491" i="1"/>
  <c r="C537" i="1" s="1"/>
  <c r="T469" i="1"/>
  <c r="T468" i="1"/>
  <c r="C468" i="1"/>
  <c r="C467" i="1"/>
  <c r="T466" i="1"/>
  <c r="M465" i="1" s="1"/>
  <c r="L49" i="3" s="1"/>
  <c r="M466" i="1"/>
  <c r="G461" i="1"/>
  <c r="F461" i="1"/>
  <c r="P457" i="1"/>
  <c r="Q456" i="1"/>
  <c r="Q455" i="1"/>
  <c r="Q457" i="1" s="1"/>
  <c r="S457" i="1" s="1"/>
  <c r="Q454" i="1"/>
  <c r="Q453" i="1"/>
  <c r="Q452" i="1"/>
  <c r="R451" i="1"/>
  <c r="R457" i="1" s="1"/>
  <c r="C451" i="1"/>
  <c r="D451" i="1" s="1"/>
  <c r="F451" i="1" s="1"/>
  <c r="R450" i="1"/>
  <c r="R449" i="1"/>
  <c r="D449" i="1"/>
  <c r="E447" i="1"/>
  <c r="D447" i="1"/>
  <c r="F425" i="1" s="1"/>
  <c r="G419" i="1"/>
  <c r="G418" i="1"/>
  <c r="F418" i="1"/>
  <c r="I418" i="1" s="1"/>
  <c r="I417" i="1"/>
  <c r="D417" i="1"/>
  <c r="J417" i="1" s="1"/>
  <c r="D416" i="1"/>
  <c r="J416" i="1" s="1"/>
  <c r="I416" i="1"/>
  <c r="D415" i="1"/>
  <c r="I414" i="1"/>
  <c r="J414" i="1"/>
  <c r="I413" i="1"/>
  <c r="I412" i="1"/>
  <c r="G420" i="1"/>
  <c r="F419" i="1"/>
  <c r="I419" i="1" s="1"/>
  <c r="J410" i="1"/>
  <c r="I383" i="1"/>
  <c r="H383" i="1"/>
  <c r="G383" i="1"/>
  <c r="F383" i="1"/>
  <c r="E383" i="1"/>
  <c r="D383" i="1"/>
  <c r="C383" i="1"/>
  <c r="I361" i="1"/>
  <c r="H361" i="1"/>
  <c r="G361" i="1"/>
  <c r="F361" i="1"/>
  <c r="E361" i="1"/>
  <c r="D361" i="1"/>
  <c r="C361" i="1"/>
  <c r="D346" i="1"/>
  <c r="C346" i="1"/>
  <c r="H325" i="1"/>
  <c r="G325" i="1"/>
  <c r="F325" i="1"/>
  <c r="E325" i="1"/>
  <c r="D325" i="1"/>
  <c r="C325" i="1"/>
  <c r="I296" i="1"/>
  <c r="I350" i="1" s="1"/>
  <c r="C292" i="1"/>
  <c r="H271" i="1"/>
  <c r="G271" i="1"/>
  <c r="F271" i="1"/>
  <c r="E271" i="1"/>
  <c r="D271" i="1"/>
  <c r="C271" i="1"/>
  <c r="C253" i="1"/>
  <c r="D253" i="1" s="1"/>
  <c r="H231" i="1"/>
  <c r="G231" i="1"/>
  <c r="F231" i="1"/>
  <c r="E231" i="1"/>
  <c r="D231" i="1"/>
  <c r="C231" i="1"/>
  <c r="C196" i="1"/>
  <c r="H179" i="1"/>
  <c r="G179" i="1"/>
  <c r="F179" i="1"/>
  <c r="E179" i="1"/>
  <c r="D179" i="1"/>
  <c r="C179" i="1"/>
  <c r="H165" i="1"/>
  <c r="G165" i="1"/>
  <c r="F165" i="1"/>
  <c r="E165" i="1"/>
  <c r="D165" i="1"/>
  <c r="C165" i="1"/>
  <c r="C154" i="1"/>
  <c r="H146" i="1"/>
  <c r="I141" i="1"/>
  <c r="AD140" i="1"/>
  <c r="H139" i="1"/>
  <c r="D139" i="1"/>
  <c r="C139" i="1"/>
  <c r="E139" i="1"/>
  <c r="H137" i="1"/>
  <c r="G137" i="1"/>
  <c r="F137" i="1"/>
  <c r="E137" i="1"/>
  <c r="D137" i="1"/>
  <c r="C137" i="1"/>
  <c r="I122" i="1"/>
  <c r="H122" i="1"/>
  <c r="G122" i="1"/>
  <c r="F122" i="1"/>
  <c r="E122" i="1"/>
  <c r="D122" i="1"/>
  <c r="C122" i="1"/>
  <c r="H104" i="1"/>
  <c r="G104" i="1"/>
  <c r="F104" i="1"/>
  <c r="E104" i="1"/>
  <c r="D104" i="1"/>
  <c r="C104" i="1"/>
  <c r="H86" i="1"/>
  <c r="G86" i="1"/>
  <c r="F86" i="1"/>
  <c r="E86" i="1"/>
  <c r="D86" i="1"/>
  <c r="C86" i="1"/>
  <c r="S77" i="1"/>
  <c r="H76" i="1"/>
  <c r="G76" i="1"/>
  <c r="F76" i="1"/>
  <c r="E76" i="1"/>
  <c r="D76" i="1"/>
  <c r="C76" i="1"/>
  <c r="S71" i="1"/>
  <c r="S66" i="1"/>
  <c r="S60" i="1"/>
  <c r="S84" i="1" s="1"/>
  <c r="O48" i="1"/>
  <c r="E13" i="4" s="1"/>
  <c r="M48" i="1"/>
  <c r="E45" i="1"/>
  <c r="P44" i="1"/>
  <c r="F7" i="4" s="1"/>
  <c r="L44" i="1"/>
  <c r="B7" i="4" s="1"/>
  <c r="Q42" i="1"/>
  <c r="P42" i="1"/>
  <c r="O42" i="1"/>
  <c r="N42" i="1"/>
  <c r="M42" i="1"/>
  <c r="L42" i="1"/>
  <c r="H42" i="1"/>
  <c r="G42" i="1"/>
  <c r="F42" i="1"/>
  <c r="E42" i="1"/>
  <c r="D42" i="1"/>
  <c r="C42" i="1"/>
  <c r="B41" i="1"/>
  <c r="R37" i="1"/>
  <c r="M37" i="1"/>
  <c r="R36" i="1"/>
  <c r="M36" i="1"/>
  <c r="R35" i="1"/>
  <c r="M35" i="1"/>
  <c r="R34" i="1"/>
  <c r="M34" i="1"/>
  <c r="R33" i="1"/>
  <c r="M33" i="1"/>
  <c r="R32" i="1"/>
  <c r="M32" i="1"/>
  <c r="R31" i="1"/>
  <c r="R30" i="1"/>
  <c r="M30" i="1"/>
  <c r="R29" i="1"/>
  <c r="M29" i="1"/>
  <c r="R28" i="1"/>
  <c r="M28" i="1"/>
  <c r="R27" i="1"/>
  <c r="M27" i="1"/>
  <c r="R26" i="1"/>
  <c r="Q24" i="1"/>
  <c r="P24" i="1"/>
  <c r="O24" i="1"/>
  <c r="N24" i="1"/>
  <c r="M24" i="1"/>
  <c r="L24" i="1"/>
  <c r="H24" i="1"/>
  <c r="G24" i="1"/>
  <c r="F24" i="1"/>
  <c r="E24" i="1"/>
  <c r="D24" i="1"/>
  <c r="C24" i="1"/>
  <c r="M23" i="1"/>
  <c r="Q19" i="1"/>
  <c r="O19" i="1"/>
  <c r="N19" i="1"/>
  <c r="G19" i="1"/>
  <c r="P19" i="1" s="1"/>
  <c r="M19" i="1"/>
  <c r="L19" i="1"/>
  <c r="O18" i="1"/>
  <c r="N18" i="1"/>
  <c r="M18" i="1"/>
  <c r="L18" i="1"/>
  <c r="Q18" i="1"/>
  <c r="G18" i="1"/>
  <c r="P18" i="1" s="1"/>
  <c r="Q17" i="1"/>
  <c r="P17" i="1"/>
  <c r="O17" i="1"/>
  <c r="N17" i="1"/>
  <c r="M17" i="1"/>
  <c r="G17" i="1"/>
  <c r="L17" i="1"/>
  <c r="Q16" i="1"/>
  <c r="N16" i="1"/>
  <c r="L16" i="1"/>
  <c r="O15" i="1"/>
  <c r="N15" i="1"/>
  <c r="M15" i="1"/>
  <c r="L15" i="1"/>
  <c r="Q15" i="1"/>
  <c r="G15" i="1"/>
  <c r="P15" i="1" s="1"/>
  <c r="Q14" i="1"/>
  <c r="O14" i="1"/>
  <c r="N14" i="1"/>
  <c r="G14" i="1"/>
  <c r="P14" i="1" s="1"/>
  <c r="M14" i="1"/>
  <c r="L14" i="1"/>
  <c r="Q13" i="1"/>
  <c r="N13" i="1"/>
  <c r="M13" i="1"/>
  <c r="L13" i="1"/>
  <c r="G13" i="1"/>
  <c r="Q12" i="1"/>
  <c r="O12" i="1"/>
  <c r="N12" i="1"/>
  <c r="M12" i="1"/>
  <c r="L12" i="1"/>
  <c r="G12" i="1"/>
  <c r="P12" i="1" s="1"/>
  <c r="Q11" i="1"/>
  <c r="P11" i="1"/>
  <c r="O11" i="1"/>
  <c r="N11" i="1"/>
  <c r="G11" i="1"/>
  <c r="M11" i="1"/>
  <c r="L11" i="1"/>
  <c r="O10" i="1"/>
  <c r="N10" i="1"/>
  <c r="M10" i="1"/>
  <c r="L10" i="1"/>
  <c r="Q10" i="1"/>
  <c r="G10" i="1"/>
  <c r="P10" i="1" s="1"/>
  <c r="Q9" i="1"/>
  <c r="O9" i="1"/>
  <c r="N9" i="1"/>
  <c r="M9" i="1"/>
  <c r="G9" i="1"/>
  <c r="P9" i="1" s="1"/>
  <c r="L9" i="1"/>
  <c r="Q8" i="1"/>
  <c r="N8" i="1"/>
  <c r="L8" i="1"/>
  <c r="Q6" i="1"/>
  <c r="P6" i="1"/>
  <c r="O6" i="1"/>
  <c r="N6" i="1"/>
  <c r="M6" i="1"/>
  <c r="L6" i="1"/>
  <c r="L4" i="1"/>
  <c r="C472" i="1"/>
  <c r="B1" i="1"/>
  <c r="E16" i="2" l="1"/>
  <c r="P48" i="1"/>
  <c r="F13" i="4" s="1"/>
  <c r="O44" i="1"/>
  <c r="E7" i="4" s="1"/>
  <c r="O8" i="1"/>
  <c r="G8" i="1"/>
  <c r="M26" i="1"/>
  <c r="S64" i="1" s="1"/>
  <c r="S63" i="1"/>
  <c r="T63" i="1" s="1"/>
  <c r="G56" i="1"/>
  <c r="G167" i="1" s="1"/>
  <c r="M45" i="1"/>
  <c r="S74" i="1"/>
  <c r="M8" i="1"/>
  <c r="M16" i="1"/>
  <c r="S79" i="1" s="1"/>
  <c r="S78" i="1"/>
  <c r="R45" i="1"/>
  <c r="V63" i="1" s="1"/>
  <c r="C13" i="4"/>
  <c r="F56" i="1"/>
  <c r="V74" i="1"/>
  <c r="V87" i="1" s="1"/>
  <c r="J415" i="1"/>
  <c r="I415" i="1"/>
  <c r="O13" i="1"/>
  <c r="O16" i="1"/>
  <c r="G16" i="1"/>
  <c r="P16" i="1" s="1"/>
  <c r="R44" i="1"/>
  <c r="C465" i="1"/>
  <c r="D150" i="1"/>
  <c r="B20" i="4"/>
  <c r="P13" i="1"/>
  <c r="M44" i="1"/>
  <c r="C172" i="1"/>
  <c r="H172" i="1" s="1"/>
  <c r="V78" i="1"/>
  <c r="V92" i="1" s="1"/>
  <c r="B40" i="4"/>
  <c r="B14" i="4"/>
  <c r="B27" i="4"/>
  <c r="B34" i="4"/>
  <c r="B21" i="4"/>
  <c r="B8" i="4"/>
  <c r="B9" i="4" s="1"/>
  <c r="AD138" i="1"/>
  <c r="G459" i="1"/>
  <c r="C30" i="4"/>
  <c r="E39" i="4" s="1"/>
  <c r="E41" i="4" s="1"/>
  <c r="K429" i="1"/>
  <c r="L50" i="3"/>
  <c r="G182" i="3"/>
  <c r="G93" i="3"/>
  <c r="C599" i="1"/>
  <c r="C598" i="1"/>
  <c r="C600" i="1" s="1"/>
  <c r="G183" i="3"/>
  <c r="C466" i="1"/>
  <c r="G94" i="3"/>
  <c r="G206" i="1"/>
  <c r="H263" i="1" s="1"/>
  <c r="M49" i="1"/>
  <c r="M50" i="1" s="1"/>
  <c r="R49" i="1"/>
  <c r="V67" i="1" s="1"/>
  <c r="C27" i="4"/>
  <c r="C21" i="4"/>
  <c r="C40" i="4"/>
  <c r="C34" i="4"/>
  <c r="C14" i="4"/>
  <c r="C8" i="4"/>
  <c r="B136" i="1"/>
  <c r="E409" i="1"/>
  <c r="J409" i="1" s="1"/>
  <c r="I409" i="1"/>
  <c r="N84" i="5"/>
  <c r="N39" i="5"/>
  <c r="C56" i="1"/>
  <c r="C167" i="1" s="1"/>
  <c r="H167" i="1" s="1"/>
  <c r="D14" i="4"/>
  <c r="D34" i="4"/>
  <c r="D8" i="4"/>
  <c r="D27" i="4"/>
  <c r="D21" i="4"/>
  <c r="D40" i="4"/>
  <c r="I139" i="1"/>
  <c r="D420" i="1"/>
  <c r="J420" i="1" s="1"/>
  <c r="J412" i="1"/>
  <c r="D418" i="1"/>
  <c r="J418" i="1" s="1"/>
  <c r="D419" i="1"/>
  <c r="J419" i="1" s="1"/>
  <c r="J411" i="1"/>
  <c r="F449" i="1"/>
  <c r="E41" i="2"/>
  <c r="B47" i="5"/>
  <c r="B81" i="5"/>
  <c r="B16" i="5"/>
  <c r="C16" i="5" s="1"/>
  <c r="A2" i="4"/>
  <c r="A2" i="3"/>
  <c r="C474" i="1"/>
  <c r="C473" i="1"/>
  <c r="A2" i="2"/>
  <c r="E144" i="1"/>
  <c r="M31" i="1"/>
  <c r="S68" i="1" s="1"/>
  <c r="S73" i="1"/>
  <c r="D56" i="1"/>
  <c r="D167" i="1" s="1"/>
  <c r="S62" i="1"/>
  <c r="E21" i="4"/>
  <c r="E34" i="4"/>
  <c r="E27" i="4"/>
  <c r="E14" i="4"/>
  <c r="E15" i="4" s="1"/>
  <c r="E8" i="4"/>
  <c r="E40" i="4"/>
  <c r="E147" i="1"/>
  <c r="C17" i="4"/>
  <c r="E26" i="4" s="1"/>
  <c r="E28" i="4" s="1"/>
  <c r="F459" i="1"/>
  <c r="H461" i="1" s="1"/>
  <c r="D161" i="1" s="1"/>
  <c r="C469" i="1" s="1"/>
  <c r="K428" i="1"/>
  <c r="P85" i="5"/>
  <c r="P40" i="5"/>
  <c r="D3" i="1"/>
  <c r="L48" i="1"/>
  <c r="S67" i="1"/>
  <c r="T67" i="1" s="1"/>
  <c r="F34" i="4"/>
  <c r="F40" i="4"/>
  <c r="F14" i="4"/>
  <c r="F27" i="4"/>
  <c r="F21" i="4"/>
  <c r="F8" i="4"/>
  <c r="F9" i="4" s="1"/>
  <c r="E145" i="1"/>
  <c r="D172" i="1" s="1"/>
  <c r="C158" i="1"/>
  <c r="F167" i="1"/>
  <c r="F420" i="1"/>
  <c r="I420" i="1" s="1"/>
  <c r="I411" i="1"/>
  <c r="D105" i="3"/>
  <c r="G21" i="4"/>
  <c r="G8" i="4"/>
  <c r="G27" i="4"/>
  <c r="G40" i="4"/>
  <c r="G14" i="4"/>
  <c r="P16" i="5"/>
  <c r="E21" i="5"/>
  <c r="F12" i="2"/>
  <c r="F14" i="2"/>
  <c r="M273" i="3"/>
  <c r="D281" i="3" s="1"/>
  <c r="E281" i="3" s="1"/>
  <c r="G35" i="5"/>
  <c r="E80" i="5"/>
  <c r="O35" i="5"/>
  <c r="H35" i="5" s="1"/>
  <c r="H80" i="5" s="1"/>
  <c r="I410" i="1"/>
  <c r="B10" i="5"/>
  <c r="C10" i="5" s="1"/>
  <c r="B88" i="5"/>
  <c r="D88" i="5" s="1"/>
  <c r="E53" i="1" s="1"/>
  <c r="D43" i="5"/>
  <c r="E43" i="5" s="1"/>
  <c r="F8" i="5"/>
  <c r="F34" i="5" s="1"/>
  <c r="C13" i="5"/>
  <c r="C39" i="5" s="1"/>
  <c r="J413" i="1"/>
  <c r="D16" i="2"/>
  <c r="G16" i="2" s="1"/>
  <c r="F15" i="2"/>
  <c r="E15" i="2"/>
  <c r="H25" i="5"/>
  <c r="N10" i="5"/>
  <c r="G10" i="5"/>
  <c r="F10" i="5" s="1"/>
  <c r="F36" i="5" s="1"/>
  <c r="P19" i="5"/>
  <c r="I21" i="5"/>
  <c r="I25" i="5"/>
  <c r="C17" i="5"/>
  <c r="C43" i="5" s="1"/>
  <c r="D284" i="3"/>
  <c r="R273" i="3"/>
  <c r="P36" i="5"/>
  <c r="P81" i="5"/>
  <c r="F17" i="5"/>
  <c r="F43" i="5" s="1"/>
  <c r="P17" i="5"/>
  <c r="B83" i="5"/>
  <c r="F15" i="5"/>
  <c r="F41" i="5" s="1"/>
  <c r="B15" i="5"/>
  <c r="C15" i="5" s="1"/>
  <c r="P15" i="5"/>
  <c r="G16" i="5"/>
  <c r="F16" i="5" s="1"/>
  <c r="F42" i="5" s="1"/>
  <c r="B14" i="5"/>
  <c r="B24" i="5" s="1"/>
  <c r="D24" i="5"/>
  <c r="N19" i="5"/>
  <c r="G19" i="5"/>
  <c r="F19" i="5" s="1"/>
  <c r="F45" i="5" s="1"/>
  <c r="C106" i="5"/>
  <c r="G104" i="5"/>
  <c r="N80" i="5"/>
  <c r="N35" i="5"/>
  <c r="B12" i="5"/>
  <c r="C12" i="5" s="1"/>
  <c r="P13" i="5"/>
  <c r="E24" i="5"/>
  <c r="C35" i="5"/>
  <c r="D106" i="5"/>
  <c r="D285" i="3"/>
  <c r="E279" i="3"/>
  <c r="E284" i="3" s="1"/>
  <c r="N273" i="3"/>
  <c r="D282" i="3"/>
  <c r="E282" i="3" s="1"/>
  <c r="P80" i="5"/>
  <c r="P35" i="5"/>
  <c r="P12" i="5"/>
  <c r="N14" i="5"/>
  <c r="G14" i="5"/>
  <c r="F14" i="5" s="1"/>
  <c r="F40" i="5" s="1"/>
  <c r="D44" i="5"/>
  <c r="E44" i="5" s="1"/>
  <c r="B89" i="5"/>
  <c r="D89" i="5" s="1"/>
  <c r="E54" i="1" s="1"/>
  <c r="G12" i="5"/>
  <c r="F12" i="5" s="1"/>
  <c r="F38" i="5" s="1"/>
  <c r="N12" i="5"/>
  <c r="N89" i="5"/>
  <c r="N44" i="5"/>
  <c r="D21" i="5"/>
  <c r="D84" i="5"/>
  <c r="D90" i="5"/>
  <c r="E55" i="1" s="1"/>
  <c r="H24" i="5"/>
  <c r="P34" i="5"/>
  <c r="I24" i="5"/>
  <c r="B19" i="5"/>
  <c r="C19" i="5" s="1"/>
  <c r="B51" i="5"/>
  <c r="H21" i="5"/>
  <c r="N11" i="5"/>
  <c r="D25" i="5"/>
  <c r="D39" i="5"/>
  <c r="B86" i="5"/>
  <c r="D86" i="5" s="1"/>
  <c r="E51" i="1" s="1"/>
  <c r="G67" i="5"/>
  <c r="B8" i="5"/>
  <c r="C8" i="5" s="1"/>
  <c r="C11" i="5"/>
  <c r="G13" i="5"/>
  <c r="G61" i="5"/>
  <c r="C42" i="5" l="1"/>
  <c r="D42" i="5"/>
  <c r="E42" i="5" s="1"/>
  <c r="D87" i="5"/>
  <c r="E52" i="1" s="1"/>
  <c r="G44" i="5"/>
  <c r="E89" i="5"/>
  <c r="O44" i="5"/>
  <c r="H44" i="5" s="1"/>
  <c r="H89" i="5" s="1"/>
  <c r="G43" i="5"/>
  <c r="E88" i="5"/>
  <c r="C38" i="5"/>
  <c r="D38" i="5"/>
  <c r="E38" i="5" s="1"/>
  <c r="C36" i="5"/>
  <c r="D36" i="5"/>
  <c r="E36" i="5" s="1"/>
  <c r="C34" i="5"/>
  <c r="D34" i="5"/>
  <c r="E41" i="11"/>
  <c r="E41" i="9"/>
  <c r="E33" i="4"/>
  <c r="E35" i="4" s="1"/>
  <c r="E9" i="4"/>
  <c r="E20" i="4"/>
  <c r="E22" i="4" s="1"/>
  <c r="E39" i="5"/>
  <c r="N38" i="5"/>
  <c r="N83" i="5"/>
  <c r="P83" i="5"/>
  <c r="P38" i="5"/>
  <c r="C14" i="5"/>
  <c r="O80" i="5"/>
  <c r="H45" i="1"/>
  <c r="I45" i="1" s="1"/>
  <c r="C7" i="4"/>
  <c r="M46" i="1"/>
  <c r="B33" i="4"/>
  <c r="I150" i="1"/>
  <c r="F172" i="1"/>
  <c r="G172" i="1"/>
  <c r="S75" i="1"/>
  <c r="N90" i="5"/>
  <c r="N45" i="5"/>
  <c r="F13" i="5"/>
  <c r="F39" i="5" s="1"/>
  <c r="G24" i="5"/>
  <c r="D83" i="5"/>
  <c r="E48" i="1" s="1"/>
  <c r="G80" i="5"/>
  <c r="I35" i="5"/>
  <c r="I80" i="5" s="1"/>
  <c r="S87" i="1"/>
  <c r="T74" i="1"/>
  <c r="F15" i="4"/>
  <c r="F39" i="4"/>
  <c r="F41" i="4" s="1"/>
  <c r="F26" i="4"/>
  <c r="F28" i="4" s="1"/>
  <c r="C464" i="1"/>
  <c r="D149" i="1"/>
  <c r="C11" i="7"/>
  <c r="F33" i="4"/>
  <c r="F35" i="4" s="1"/>
  <c r="B22" i="4"/>
  <c r="B21" i="5"/>
  <c r="E22" i="5" s="1"/>
  <c r="B25" i="5"/>
  <c r="E49" i="1"/>
  <c r="D81" i="5"/>
  <c r="E46" i="1" s="1"/>
  <c r="V62" i="1"/>
  <c r="V73" i="1" s="1"/>
  <c r="V75" i="1" s="1"/>
  <c r="R46" i="1"/>
  <c r="V64" i="1" s="1"/>
  <c r="F20" i="4"/>
  <c r="F22" i="4" s="1"/>
  <c r="C15" i="4"/>
  <c r="C39" i="4"/>
  <c r="C41" i="4" s="1"/>
  <c r="C26" i="4"/>
  <c r="C28" i="4" s="1"/>
  <c r="D286" i="3"/>
  <c r="E42" i="2" s="1"/>
  <c r="P87" i="5"/>
  <c r="P42" i="5"/>
  <c r="N82" i="5"/>
  <c r="N37" i="5"/>
  <c r="G106" i="5"/>
  <c r="H105" i="5" s="1"/>
  <c r="E157" i="1" s="1"/>
  <c r="G21" i="5"/>
  <c r="B13" i="4"/>
  <c r="R48" i="1"/>
  <c r="P8" i="1"/>
  <c r="N40" i="5"/>
  <c r="N85" i="5"/>
  <c r="N81" i="5"/>
  <c r="N36" i="5"/>
  <c r="D37" i="5"/>
  <c r="E37" i="5" s="1"/>
  <c r="C37" i="5"/>
  <c r="D82" i="5"/>
  <c r="E47" i="1" s="1"/>
  <c r="B95" i="5"/>
  <c r="P88" i="5"/>
  <c r="P43" i="5"/>
  <c r="O43" i="5" s="1"/>
  <c r="H43" i="5" s="1"/>
  <c r="H88" i="5" s="1"/>
  <c r="G25" i="5"/>
  <c r="G439" i="1"/>
  <c r="C73" i="1" s="1"/>
  <c r="G437" i="1"/>
  <c r="C71" i="1" s="1"/>
  <c r="G435" i="1"/>
  <c r="C69" i="1" s="1"/>
  <c r="G433" i="1"/>
  <c r="H430" i="1"/>
  <c r="D64" i="1" s="1"/>
  <c r="G429" i="1"/>
  <c r="C63" i="1" s="1"/>
  <c r="H439" i="1"/>
  <c r="D73" i="1" s="1"/>
  <c r="G431" i="1"/>
  <c r="C65" i="1" s="1"/>
  <c r="H434" i="1"/>
  <c r="D68" i="1" s="1"/>
  <c r="H428" i="1"/>
  <c r="H436" i="1"/>
  <c r="D70" i="1" s="1"/>
  <c r="G428" i="1"/>
  <c r="H438" i="1"/>
  <c r="D72" i="1" s="1"/>
  <c r="G436" i="1"/>
  <c r="C70" i="1" s="1"/>
  <c r="G438" i="1"/>
  <c r="C72" i="1" s="1"/>
  <c r="H433" i="1"/>
  <c r="H431" i="1"/>
  <c r="D65" i="1" s="1"/>
  <c r="H432" i="1"/>
  <c r="D66" i="1" s="1"/>
  <c r="G430" i="1"/>
  <c r="C64" i="1" s="1"/>
  <c r="G432" i="1"/>
  <c r="C66" i="1" s="1"/>
  <c r="H437" i="1"/>
  <c r="D71" i="1" s="1"/>
  <c r="G434" i="1"/>
  <c r="C68" i="1" s="1"/>
  <c r="H429" i="1"/>
  <c r="D63" i="1" s="1"/>
  <c r="H435" i="1"/>
  <c r="D69" i="1" s="1"/>
  <c r="G41" i="2"/>
  <c r="B92" i="5"/>
  <c r="B96" i="5"/>
  <c r="P86" i="5"/>
  <c r="P41" i="5"/>
  <c r="C45" i="5"/>
  <c r="D45" i="5"/>
  <c r="E45" i="5" s="1"/>
  <c r="D22" i="5"/>
  <c r="P39" i="5"/>
  <c r="P84" i="5"/>
  <c r="D41" i="5"/>
  <c r="E41" i="5" s="1"/>
  <c r="C41" i="5"/>
  <c r="P45" i="5"/>
  <c r="P90" i="5"/>
  <c r="T78" i="1"/>
  <c r="S92" i="1"/>
  <c r="O88" i="5" l="1"/>
  <c r="H53" i="1"/>
  <c r="I53" i="1" s="1"/>
  <c r="D47" i="2"/>
  <c r="R429" i="1"/>
  <c r="R432" i="1"/>
  <c r="D62" i="1"/>
  <c r="G37" i="5"/>
  <c r="O37" i="5"/>
  <c r="H37" i="5" s="1"/>
  <c r="H82" i="5" s="1"/>
  <c r="E82" i="5"/>
  <c r="B35" i="4"/>
  <c r="I43" i="5"/>
  <c r="I88" i="5" s="1"/>
  <c r="G88" i="5"/>
  <c r="E90" i="5"/>
  <c r="O45" i="5"/>
  <c r="H45" i="5" s="1"/>
  <c r="H90" i="5" s="1"/>
  <c r="G45" i="5"/>
  <c r="C11" i="10"/>
  <c r="C13" i="10" s="1"/>
  <c r="C19" i="10" s="1"/>
  <c r="C11" i="8"/>
  <c r="C13" i="7"/>
  <c r="C19" i="7" s="1"/>
  <c r="O36" i="5"/>
  <c r="H36" i="5" s="1"/>
  <c r="H81" i="5" s="1"/>
  <c r="E81" i="5"/>
  <c r="G36" i="5"/>
  <c r="H104" i="5"/>
  <c r="R428" i="1"/>
  <c r="D67" i="1"/>
  <c r="G170" i="1"/>
  <c r="F170" i="1"/>
  <c r="G171" i="1"/>
  <c r="I149" i="1"/>
  <c r="C170" i="1"/>
  <c r="H170" i="1" s="1"/>
  <c r="D170" i="1"/>
  <c r="F171" i="1"/>
  <c r="C171" i="1"/>
  <c r="H171" i="1" s="1"/>
  <c r="D171" i="1"/>
  <c r="C20" i="4"/>
  <c r="C9" i="4"/>
  <c r="C33" i="4"/>
  <c r="C35" i="4" s="1"/>
  <c r="E46" i="2"/>
  <c r="O89" i="5"/>
  <c r="H54" i="1"/>
  <c r="I54" i="1" s="1"/>
  <c r="G41" i="9"/>
  <c r="E47" i="9" s="1"/>
  <c r="E47" i="2"/>
  <c r="G89" i="5"/>
  <c r="I44" i="5"/>
  <c r="I89" i="5" s="1"/>
  <c r="B26" i="4"/>
  <c r="B15" i="4"/>
  <c r="B39" i="4"/>
  <c r="E42" i="11"/>
  <c r="E45" i="11" s="1"/>
  <c r="E42" i="9"/>
  <c r="E45" i="9" s="1"/>
  <c r="E45" i="2"/>
  <c r="G41" i="11"/>
  <c r="O42" i="5"/>
  <c r="H42" i="5" s="1"/>
  <c r="H87" i="5" s="1"/>
  <c r="G42" i="5"/>
  <c r="E87" i="5"/>
  <c r="O39" i="5"/>
  <c r="H39" i="5" s="1"/>
  <c r="E84" i="5"/>
  <c r="G39" i="5"/>
  <c r="G38" i="5"/>
  <c r="E83" i="5"/>
  <c r="O38" i="5"/>
  <c r="H38" i="5" s="1"/>
  <c r="H83" i="5" s="1"/>
  <c r="V66" i="1"/>
  <c r="V77" i="1" s="1"/>
  <c r="V79" i="1" s="1"/>
  <c r="R50" i="1"/>
  <c r="V68" i="1" s="1"/>
  <c r="E86" i="5"/>
  <c r="G41" i="5"/>
  <c r="O41" i="5"/>
  <c r="H41" i="5" s="1"/>
  <c r="H86" i="5" s="1"/>
  <c r="Q429" i="1"/>
  <c r="C62" i="1"/>
  <c r="Q432" i="1"/>
  <c r="C67" i="1"/>
  <c r="Q428" i="1"/>
  <c r="G94" i="1"/>
  <c r="G112" i="1" s="1"/>
  <c r="C40" i="5"/>
  <c r="D40" i="5"/>
  <c r="D47" i="5" s="1"/>
  <c r="D48" i="5" s="1"/>
  <c r="D85" i="5"/>
  <c r="D79" i="5"/>
  <c r="D51" i="5"/>
  <c r="E34" i="5"/>
  <c r="C13" i="8" l="1"/>
  <c r="C19" i="8" s="1"/>
  <c r="D11" i="8"/>
  <c r="D13" i="8" s="1"/>
  <c r="D19" i="8" s="1"/>
  <c r="S432" i="1"/>
  <c r="R430" i="1"/>
  <c r="G87" i="5"/>
  <c r="I42" i="5"/>
  <c r="I87" i="5" s="1"/>
  <c r="G83" i="5"/>
  <c r="I38" i="5"/>
  <c r="I83" i="5" s="1"/>
  <c r="O34" i="5"/>
  <c r="H34" i="5" s="1"/>
  <c r="E79" i="5"/>
  <c r="E47" i="5"/>
  <c r="E48" i="5" s="1"/>
  <c r="E51" i="5"/>
  <c r="G34" i="5"/>
  <c r="D47" i="11"/>
  <c r="I37" i="5"/>
  <c r="I82" i="5" s="1"/>
  <c r="G82" i="5"/>
  <c r="G86" i="5"/>
  <c r="I41" i="5"/>
  <c r="I86" i="5" s="1"/>
  <c r="E47" i="11"/>
  <c r="D47" i="9"/>
  <c r="G47" i="9" s="1"/>
  <c r="H106" i="5"/>
  <c r="E156" i="1"/>
  <c r="L52" i="1" s="1"/>
  <c r="L53" i="1" s="1"/>
  <c r="F94" i="1"/>
  <c r="F112" i="1" s="1"/>
  <c r="C94" i="1"/>
  <c r="E94" i="1"/>
  <c r="D94" i="1"/>
  <c r="O86" i="5"/>
  <c r="H51" i="1"/>
  <c r="I51" i="1" s="1"/>
  <c r="O84" i="5"/>
  <c r="H49" i="1"/>
  <c r="E46" i="11"/>
  <c r="B28" i="4"/>
  <c r="E46" i="9"/>
  <c r="O81" i="5"/>
  <c r="H46" i="1"/>
  <c r="I46" i="1" s="1"/>
  <c r="B41" i="4"/>
  <c r="C22" i="4"/>
  <c r="I36" i="5"/>
  <c r="I81" i="5" s="1"/>
  <c r="G81" i="5"/>
  <c r="O90" i="5"/>
  <c r="H55" i="1"/>
  <c r="I55" i="1" s="1"/>
  <c r="D96" i="5"/>
  <c r="D92" i="5"/>
  <c r="D93" i="5" s="1"/>
  <c r="E44" i="1"/>
  <c r="Q430" i="1"/>
  <c r="H84" i="5"/>
  <c r="C92" i="1"/>
  <c r="C110" i="1" s="1"/>
  <c r="C128" i="1" s="1"/>
  <c r="F92" i="1"/>
  <c r="F110" i="1" s="1"/>
  <c r="F128" i="1" s="1"/>
  <c r="F188" i="1" s="1"/>
  <c r="D93" i="1"/>
  <c r="C93" i="1"/>
  <c r="F93" i="1"/>
  <c r="F111" i="1" s="1"/>
  <c r="D92" i="1"/>
  <c r="D110" i="1" s="1"/>
  <c r="D128" i="1" s="1"/>
  <c r="D188" i="1" s="1"/>
  <c r="G92" i="1"/>
  <c r="G110" i="1" s="1"/>
  <c r="G128" i="1" s="1"/>
  <c r="G188" i="1" s="1"/>
  <c r="G93" i="1"/>
  <c r="G111" i="1" s="1"/>
  <c r="O83" i="5"/>
  <c r="H48" i="1"/>
  <c r="I48" i="1" s="1"/>
  <c r="G84" i="5"/>
  <c r="I39" i="5"/>
  <c r="F88" i="1"/>
  <c r="C88" i="1"/>
  <c r="G89" i="1"/>
  <c r="G107" i="1" s="1"/>
  <c r="G88" i="1"/>
  <c r="F89" i="1"/>
  <c r="F107" i="1" s="1"/>
  <c r="D89" i="1"/>
  <c r="D88" i="1"/>
  <c r="C89" i="1"/>
  <c r="G47" i="2"/>
  <c r="E50" i="1"/>
  <c r="D95" i="5"/>
  <c r="E40" i="5"/>
  <c r="D50" i="5"/>
  <c r="O87" i="5"/>
  <c r="H52" i="1"/>
  <c r="I52" i="1" s="1"/>
  <c r="D90" i="1"/>
  <c r="C90" i="1"/>
  <c r="G90" i="1"/>
  <c r="G108" i="1" s="1"/>
  <c r="F90" i="1"/>
  <c r="F108" i="1" s="1"/>
  <c r="O82" i="5"/>
  <c r="H47" i="1"/>
  <c r="I47" i="1" s="1"/>
  <c r="I45" i="5"/>
  <c r="I90" i="5" s="1"/>
  <c r="G90" i="5"/>
  <c r="G47" i="11" l="1"/>
  <c r="C112" i="1"/>
  <c r="E85" i="5"/>
  <c r="G40" i="5"/>
  <c r="O40" i="5"/>
  <c r="H40" i="5" s="1"/>
  <c r="E50" i="5"/>
  <c r="D107" i="1"/>
  <c r="S93" i="1"/>
  <c r="S94" i="1" s="1"/>
  <c r="D126" i="1" s="1"/>
  <c r="D183" i="1" s="1"/>
  <c r="D111" i="1"/>
  <c r="S88" i="1"/>
  <c r="S89" i="1" s="1"/>
  <c r="D129" i="1" s="1"/>
  <c r="D189" i="1" s="1"/>
  <c r="I49" i="1"/>
  <c r="O79" i="5"/>
  <c r="E96" i="5"/>
  <c r="E92" i="5"/>
  <c r="E93" i="5" s="1"/>
  <c r="H44" i="1"/>
  <c r="E93" i="1"/>
  <c r="E111" i="1" s="1"/>
  <c r="E92" i="1"/>
  <c r="E110" i="1" s="1"/>
  <c r="E128" i="1" s="1"/>
  <c r="E56" i="1"/>
  <c r="N44" i="1"/>
  <c r="D7" i="4" s="1"/>
  <c r="E112" i="1"/>
  <c r="E172" i="1"/>
  <c r="I84" i="5"/>
  <c r="C108" i="1"/>
  <c r="F364" i="1"/>
  <c r="F280" i="1"/>
  <c r="H47" i="5"/>
  <c r="H51" i="5"/>
  <c r="H79" i="5"/>
  <c r="C111" i="1"/>
  <c r="V88" i="1"/>
  <c r="V89" i="1" s="1"/>
  <c r="I130" i="1" s="1"/>
  <c r="H190" i="1" s="1"/>
  <c r="G106" i="1"/>
  <c r="G96" i="1"/>
  <c r="C188" i="1"/>
  <c r="H188" i="1"/>
  <c r="I128" i="1"/>
  <c r="C107" i="1"/>
  <c r="V93" i="1"/>
  <c r="V94" i="1" s="1"/>
  <c r="I126" i="1" s="1"/>
  <c r="H183" i="1" s="1"/>
  <c r="D96" i="1"/>
  <c r="D106" i="1"/>
  <c r="D108" i="1"/>
  <c r="E89" i="1"/>
  <c r="E107" i="1" s="1"/>
  <c r="E90" i="1"/>
  <c r="E108" i="1" s="1"/>
  <c r="E88" i="1"/>
  <c r="E171" i="1"/>
  <c r="N48" i="1"/>
  <c r="D13" i="4" s="1"/>
  <c r="C96" i="1"/>
  <c r="C106" i="1"/>
  <c r="G364" i="1"/>
  <c r="G280" i="1"/>
  <c r="F106" i="1"/>
  <c r="F96" i="1"/>
  <c r="D364" i="1"/>
  <c r="D280" i="1"/>
  <c r="D386" i="1" s="1"/>
  <c r="D130" i="1"/>
  <c r="D190" i="1" s="1"/>
  <c r="D112" i="1"/>
  <c r="I34" i="5"/>
  <c r="G51" i="5"/>
  <c r="G79" i="5"/>
  <c r="G47" i="5"/>
  <c r="D125" i="1" l="1"/>
  <c r="D182" i="1" s="1"/>
  <c r="I125" i="1"/>
  <c r="H182" i="1" s="1"/>
  <c r="I129" i="1"/>
  <c r="H189" i="1" s="1"/>
  <c r="H281" i="1" s="1"/>
  <c r="H282" i="1"/>
  <c r="H275" i="1"/>
  <c r="D281" i="1"/>
  <c r="Q44" i="1"/>
  <c r="G7" i="4" s="1"/>
  <c r="H7" i="4" s="1"/>
  <c r="H94" i="1"/>
  <c r="H112" i="1" s="1"/>
  <c r="H92" i="1"/>
  <c r="H110" i="1" s="1"/>
  <c r="H128" i="1" s="1"/>
  <c r="C202" i="1" s="1"/>
  <c r="H93" i="1"/>
  <c r="H111" i="1" s="1"/>
  <c r="I79" i="5"/>
  <c r="I51" i="5"/>
  <c r="E96" i="1"/>
  <c r="E106" i="1"/>
  <c r="F386" i="1"/>
  <c r="I44" i="1"/>
  <c r="D274" i="1"/>
  <c r="H85" i="5"/>
  <c r="H95" i="5" s="1"/>
  <c r="H50" i="5"/>
  <c r="G92" i="5"/>
  <c r="G96" i="5"/>
  <c r="D114" i="1"/>
  <c r="D124" i="1"/>
  <c r="G124" i="1"/>
  <c r="G114" i="1"/>
  <c r="D282" i="1"/>
  <c r="G386" i="1"/>
  <c r="H274" i="1"/>
  <c r="D9" i="4"/>
  <c r="D33" i="4"/>
  <c r="D20" i="4"/>
  <c r="G85" i="5"/>
  <c r="G95" i="5" s="1"/>
  <c r="I40" i="5"/>
  <c r="I47" i="5" s="1"/>
  <c r="G50" i="5"/>
  <c r="F124" i="1"/>
  <c r="F114" i="1"/>
  <c r="H92" i="5"/>
  <c r="H96" i="5"/>
  <c r="E167" i="1"/>
  <c r="E188" i="1" s="1"/>
  <c r="E170" i="1"/>
  <c r="O85" i="5"/>
  <c r="H50" i="1"/>
  <c r="H56" i="1" s="1"/>
  <c r="E95" i="5"/>
  <c r="D39" i="4"/>
  <c r="D15" i="4"/>
  <c r="D26" i="4"/>
  <c r="C114" i="1"/>
  <c r="C124" i="1"/>
  <c r="I124" i="1"/>
  <c r="H280" i="1"/>
  <c r="I386" i="1" s="1"/>
  <c r="I364" i="1"/>
  <c r="D275" i="1"/>
  <c r="C364" i="1"/>
  <c r="C280" i="1"/>
  <c r="E364" i="1" l="1"/>
  <c r="E280" i="1"/>
  <c r="H181" i="1"/>
  <c r="I132" i="1"/>
  <c r="H192" i="1" s="1"/>
  <c r="D41" i="4"/>
  <c r="C386" i="1"/>
  <c r="H9" i="4"/>
  <c r="C132" i="1"/>
  <c r="C192" i="1" s="1"/>
  <c r="C181" i="1"/>
  <c r="I85" i="5"/>
  <c r="I95" i="5" s="1"/>
  <c r="I50" i="5"/>
  <c r="M224" i="1"/>
  <c r="H203" i="1" s="1"/>
  <c r="H214" i="1" s="1"/>
  <c r="L170" i="3"/>
  <c r="C214" i="1"/>
  <c r="C298" i="1"/>
  <c r="H364" i="1"/>
  <c r="G181" i="1"/>
  <c r="G132" i="1"/>
  <c r="G192" i="1" s="1"/>
  <c r="D181" i="1"/>
  <c r="D132" i="1"/>
  <c r="D192" i="1" s="1"/>
  <c r="G20" i="4"/>
  <c r="G22" i="4" s="1"/>
  <c r="G9" i="4"/>
  <c r="G33" i="4"/>
  <c r="G35" i="4" s="1"/>
  <c r="F181" i="1"/>
  <c r="F132" i="1"/>
  <c r="F192" i="1" s="1"/>
  <c r="L169" i="3"/>
  <c r="M223" i="1"/>
  <c r="H202" i="1" s="1"/>
  <c r="H213" i="1" s="1"/>
  <c r="E124" i="1"/>
  <c r="E114" i="1"/>
  <c r="D28" i="4"/>
  <c r="I96" i="5"/>
  <c r="H89" i="1"/>
  <c r="H107" i="1" s="1"/>
  <c r="H90" i="1"/>
  <c r="H108" i="1" s="1"/>
  <c r="H88" i="1"/>
  <c r="I50" i="1"/>
  <c r="I56" i="1" s="1"/>
  <c r="Q48" i="1"/>
  <c r="G13" i="4" s="1"/>
  <c r="D22" i="4"/>
  <c r="H22" i="4" s="1"/>
  <c r="C57" i="4" s="1"/>
  <c r="H20" i="4"/>
  <c r="C50" i="4" s="1"/>
  <c r="D35" i="4"/>
  <c r="G15" i="4" l="1"/>
  <c r="H15" i="4" s="1"/>
  <c r="G39" i="4"/>
  <c r="G26" i="4"/>
  <c r="H13" i="4"/>
  <c r="F284" i="1"/>
  <c r="C273" i="1"/>
  <c r="C184" i="1"/>
  <c r="H106" i="1"/>
  <c r="H96" i="1"/>
  <c r="C98" i="1" s="1"/>
  <c r="F363" i="1"/>
  <c r="F273" i="1"/>
  <c r="G284" i="1"/>
  <c r="C284" i="1"/>
  <c r="H284" i="1"/>
  <c r="G363" i="1"/>
  <c r="G273" i="1"/>
  <c r="H273" i="1"/>
  <c r="I385" i="1" s="1"/>
  <c r="I363" i="1"/>
  <c r="C373" i="1"/>
  <c r="E181" i="1"/>
  <c r="E132" i="1"/>
  <c r="E192" i="1" s="1"/>
  <c r="D284" i="1"/>
  <c r="E386" i="1"/>
  <c r="D252" i="3"/>
  <c r="E57" i="4"/>
  <c r="C309" i="1"/>
  <c r="D352" i="1" s="1"/>
  <c r="D39" i="3" s="1"/>
  <c r="H33" i="4"/>
  <c r="D50" i="4" s="1"/>
  <c r="E245" i="3" s="1"/>
  <c r="H35" i="4"/>
  <c r="D57" i="4" s="1"/>
  <c r="E252" i="3" s="1"/>
  <c r="D245" i="3"/>
  <c r="I92" i="5"/>
  <c r="H64" i="3"/>
  <c r="I259" i="1"/>
  <c r="I298" i="1" s="1"/>
  <c r="I352" i="1" s="1"/>
  <c r="D363" i="1"/>
  <c r="D273" i="1"/>
  <c r="D385" i="1" s="1"/>
  <c r="D259" i="1"/>
  <c r="H72" i="3"/>
  <c r="I260" i="1"/>
  <c r="I299" i="1" s="1"/>
  <c r="I353" i="1" s="1"/>
  <c r="H39" i="3" l="1"/>
  <c r="H500" i="1"/>
  <c r="H386" i="1"/>
  <c r="E284" i="1"/>
  <c r="E363" i="1"/>
  <c r="E273" i="1"/>
  <c r="G385" i="1"/>
  <c r="H124" i="1"/>
  <c r="H114" i="1"/>
  <c r="C116" i="1" s="1"/>
  <c r="C133" i="1" s="1"/>
  <c r="I387" i="1"/>
  <c r="I391" i="1" s="1"/>
  <c r="G28" i="4"/>
  <c r="H28" i="4" s="1"/>
  <c r="C56" i="4" s="1"/>
  <c r="H26" i="4"/>
  <c r="C49" i="4" s="1"/>
  <c r="D387" i="1"/>
  <c r="D391" i="1" s="1"/>
  <c r="H508" i="1"/>
  <c r="H40" i="3"/>
  <c r="F252" i="3"/>
  <c r="D25" i="2"/>
  <c r="G41" i="4"/>
  <c r="H41" i="4" s="1"/>
  <c r="D56" i="4" s="1"/>
  <c r="H39" i="4"/>
  <c r="D49" i="4" s="1"/>
  <c r="F385" i="1"/>
  <c r="C185" i="1"/>
  <c r="C239" i="1" s="1"/>
  <c r="C238" i="1"/>
  <c r="C363" i="1"/>
  <c r="I365" i="1"/>
  <c r="I369" i="1" s="1"/>
  <c r="D365" i="1"/>
  <c r="D369" i="1" s="1"/>
  <c r="G365" i="1"/>
  <c r="G369" i="1" s="1"/>
  <c r="E50" i="4"/>
  <c r="F245" i="3"/>
  <c r="C99" i="3"/>
  <c r="C189" i="3"/>
  <c r="E378" i="1"/>
  <c r="F365" i="1"/>
  <c r="F369" i="1" s="1"/>
  <c r="C276" i="1"/>
  <c r="I368" i="1" l="1"/>
  <c r="C365" i="1"/>
  <c r="C369" i="1" s="1"/>
  <c r="G387" i="1"/>
  <c r="G391" i="1" s="1"/>
  <c r="E244" i="3"/>
  <c r="E246" i="3" s="1"/>
  <c r="D51" i="4"/>
  <c r="F368" i="1"/>
  <c r="E251" i="3"/>
  <c r="D58" i="4"/>
  <c r="C51" i="4"/>
  <c r="E49" i="4"/>
  <c r="E51" i="4" s="1"/>
  <c r="D244" i="3"/>
  <c r="C395" i="1"/>
  <c r="D390" i="1"/>
  <c r="G368" i="1"/>
  <c r="F387" i="1"/>
  <c r="F391" i="1" s="1"/>
  <c r="E56" i="4"/>
  <c r="E58" i="4" s="1"/>
  <c r="D251" i="3"/>
  <c r="C58" i="4"/>
  <c r="E385" i="1"/>
  <c r="H554" i="1"/>
  <c r="H522" i="1"/>
  <c r="D368" i="1"/>
  <c r="I390" i="1"/>
  <c r="E365" i="1"/>
  <c r="E369" i="1" s="1"/>
  <c r="E189" i="3"/>
  <c r="C332" i="1"/>
  <c r="C19" i="3" s="1"/>
  <c r="C277" i="1"/>
  <c r="C333" i="1" s="1"/>
  <c r="C20" i="3" s="1"/>
  <c r="D25" i="9"/>
  <c r="D25" i="11"/>
  <c r="E30" i="2"/>
  <c r="E99" i="3"/>
  <c r="H530" i="1"/>
  <c r="H561" i="1"/>
  <c r="C198" i="1"/>
  <c r="H132" i="1"/>
  <c r="C206" i="1" s="1"/>
  <c r="G390" i="1" l="1"/>
  <c r="C302" i="1"/>
  <c r="C313" i="1" s="1"/>
  <c r="C218" i="1"/>
  <c r="F251" i="3"/>
  <c r="F253" i="3" s="1"/>
  <c r="D253" i="3"/>
  <c r="D24" i="2"/>
  <c r="E400" i="1"/>
  <c r="E368" i="1"/>
  <c r="D246" i="3"/>
  <c r="F244" i="3"/>
  <c r="F246" i="3" s="1"/>
  <c r="C385" i="1"/>
  <c r="C368" i="1"/>
  <c r="E387" i="1"/>
  <c r="E391" i="1" s="1"/>
  <c r="C294" i="1"/>
  <c r="C210" i="1"/>
  <c r="D255" i="1" s="1"/>
  <c r="H363" i="1"/>
  <c r="F390" i="1"/>
  <c r="E253" i="3"/>
  <c r="C98" i="3"/>
  <c r="C188" i="3"/>
  <c r="E98" i="3" l="1"/>
  <c r="E100" i="3" s="1"/>
  <c r="C100" i="3"/>
  <c r="C221" i="1"/>
  <c r="H385" i="1"/>
  <c r="C394" i="1" s="1"/>
  <c r="C305" i="1"/>
  <c r="D348" i="1" s="1"/>
  <c r="D35" i="3" s="1"/>
  <c r="E390" i="1"/>
  <c r="D24" i="9"/>
  <c r="D26" i="9" s="1"/>
  <c r="D24" i="11"/>
  <c r="D26" i="11" s="1"/>
  <c r="D26" i="2"/>
  <c r="E29" i="2"/>
  <c r="E31" i="2" s="1"/>
  <c r="E188" i="3"/>
  <c r="E190" i="3" s="1"/>
  <c r="C190" i="3"/>
  <c r="C387" i="1"/>
  <c r="C391" i="1" s="1"/>
  <c r="C316" i="1"/>
  <c r="H365" i="1"/>
  <c r="H369" i="1" s="1"/>
  <c r="C372" i="1"/>
  <c r="E377" i="1" l="1"/>
  <c r="C374" i="1"/>
  <c r="C378" i="1" s="1"/>
  <c r="E399" i="1"/>
  <c r="C396" i="1"/>
  <c r="C400" i="1" s="1"/>
  <c r="H387" i="1"/>
  <c r="H391" i="1" s="1"/>
  <c r="H368" i="1"/>
  <c r="D222" i="1"/>
  <c r="D223" i="1"/>
  <c r="C21" i="7"/>
  <c r="C21" i="10"/>
  <c r="C22" i="10" s="1"/>
  <c r="C24" i="10" s="1"/>
  <c r="D11" i="11" s="1"/>
  <c r="C21" i="8"/>
  <c r="C390" i="1"/>
  <c r="D317" i="1"/>
  <c r="D318" i="1"/>
  <c r="C348" i="1" s="1"/>
  <c r="C377" i="1" l="1"/>
  <c r="J377" i="1"/>
  <c r="C35" i="3"/>
  <c r="C22" i="8"/>
  <c r="C24" i="8" s="1"/>
  <c r="D21" i="8"/>
  <c r="D22" i="8" s="1"/>
  <c r="D24" i="8" s="1"/>
  <c r="E11" i="9" s="1"/>
  <c r="E14" i="9" s="1"/>
  <c r="H390" i="1"/>
  <c r="F20" i="2"/>
  <c r="F29" i="2" s="1"/>
  <c r="C569" i="1"/>
  <c r="J399" i="1"/>
  <c r="C22" i="7"/>
  <c r="C24" i="7" s="1"/>
  <c r="D11" i="2" s="1"/>
  <c r="C399" i="1"/>
  <c r="F336" i="1"/>
  <c r="G336" i="1"/>
  <c r="D328" i="1"/>
  <c r="H329" i="1"/>
  <c r="H337" i="1"/>
  <c r="H338" i="1"/>
  <c r="D329" i="1"/>
  <c r="C336" i="1"/>
  <c r="D337" i="1"/>
  <c r="H328" i="1"/>
  <c r="D338" i="1"/>
  <c r="E336" i="1"/>
  <c r="D340" i="1"/>
  <c r="D27" i="3" s="1"/>
  <c r="C327" i="1"/>
  <c r="C14" i="3" s="1"/>
  <c r="C340" i="1"/>
  <c r="C27" i="3" s="1"/>
  <c r="F327" i="1"/>
  <c r="C352" i="1"/>
  <c r="G340" i="1"/>
  <c r="G27" i="3" s="1"/>
  <c r="G327" i="1"/>
  <c r="H340" i="1"/>
  <c r="H27" i="3" s="1"/>
  <c r="F340" i="1"/>
  <c r="F27" i="3" s="1"/>
  <c r="E327" i="1"/>
  <c r="E340" i="1"/>
  <c r="E27" i="3" s="1"/>
  <c r="J400" i="1"/>
  <c r="C356" i="1"/>
  <c r="C43" i="3" s="1"/>
  <c r="F486" i="1"/>
  <c r="L52" i="3"/>
  <c r="C568" i="1"/>
  <c r="M468" i="1"/>
  <c r="D484" i="1"/>
  <c r="G242" i="1"/>
  <c r="F242" i="1"/>
  <c r="H244" i="1"/>
  <c r="D244" i="1"/>
  <c r="D235" i="1"/>
  <c r="H243" i="1"/>
  <c r="H235" i="1"/>
  <c r="D234" i="1"/>
  <c r="H234" i="1"/>
  <c r="D243" i="1"/>
  <c r="C242" i="1"/>
  <c r="E242" i="1"/>
  <c r="H246" i="1"/>
  <c r="F246" i="1"/>
  <c r="C233" i="1"/>
  <c r="G246" i="1"/>
  <c r="C246" i="1"/>
  <c r="C259" i="1"/>
  <c r="G233" i="1"/>
  <c r="D246" i="1"/>
  <c r="F233" i="1"/>
  <c r="E246" i="1"/>
  <c r="E233" i="1"/>
  <c r="J378" i="1"/>
  <c r="C255" i="1"/>
  <c r="C263" i="1"/>
  <c r="F488" i="1" l="1"/>
  <c r="M469" i="1"/>
  <c r="M470" i="1" s="1"/>
  <c r="D485" i="1" s="1"/>
  <c r="D486" i="1" s="1"/>
  <c r="H15" i="3"/>
  <c r="G23" i="3"/>
  <c r="H24" i="3"/>
  <c r="C571" i="1"/>
  <c r="E23" i="3"/>
  <c r="C39" i="3"/>
  <c r="D24" i="3"/>
  <c r="F23" i="3"/>
  <c r="E30" i="9"/>
  <c r="F10" i="9"/>
  <c r="E10" i="11" s="1"/>
  <c r="E29" i="9"/>
  <c r="E31" i="9" s="1"/>
  <c r="E15" i="9"/>
  <c r="H16" i="3"/>
  <c r="L55" i="3"/>
  <c r="L53" i="3" s="1"/>
  <c r="L54" i="3" s="1"/>
  <c r="G14" i="3"/>
  <c r="D25" i="3"/>
  <c r="D15" i="3"/>
  <c r="F14" i="3"/>
  <c r="C23" i="3"/>
  <c r="D11" i="9"/>
  <c r="D14" i="9" s="1"/>
  <c r="D14" i="11"/>
  <c r="D16" i="3"/>
  <c r="D12" i="2"/>
  <c r="D14" i="2"/>
  <c r="C570" i="1"/>
  <c r="C572" i="1" s="1"/>
  <c r="F21" i="2"/>
  <c r="F30" i="2" s="1"/>
  <c r="F31" i="2" s="1"/>
  <c r="E14" i="3"/>
  <c r="H25" i="3"/>
  <c r="F14" i="9" l="1"/>
  <c r="F30" i="9" s="1"/>
  <c r="C493" i="1"/>
  <c r="C497" i="1"/>
  <c r="C496" i="1"/>
  <c r="H493" i="1"/>
  <c r="D506" i="1"/>
  <c r="I505" i="1"/>
  <c r="F15" i="9"/>
  <c r="F29" i="9"/>
  <c r="G504" i="1"/>
  <c r="C504" i="1"/>
  <c r="G493" i="1"/>
  <c r="I494" i="1"/>
  <c r="D29" i="11"/>
  <c r="D15" i="11"/>
  <c r="D30" i="11"/>
  <c r="E14" i="11"/>
  <c r="H504" i="1"/>
  <c r="D30" i="9"/>
  <c r="D29" i="9"/>
  <c r="D15" i="9"/>
  <c r="D29" i="2"/>
  <c r="D15" i="2"/>
  <c r="G15" i="2" s="1"/>
  <c r="G17" i="2" s="1"/>
  <c r="D30" i="2"/>
  <c r="G30" i="2" s="1"/>
  <c r="F493" i="1"/>
  <c r="F504" i="1"/>
  <c r="E504" i="1"/>
  <c r="I506" i="1"/>
  <c r="H588" i="1"/>
  <c r="F588" i="1"/>
  <c r="E588" i="1"/>
  <c r="D588" i="1"/>
  <c r="C588" i="1"/>
  <c r="I588" i="1"/>
  <c r="G588" i="1"/>
  <c r="I495" i="1"/>
  <c r="D505" i="1"/>
  <c r="E493" i="1"/>
  <c r="C589" i="1"/>
  <c r="I589" i="1"/>
  <c r="I590" i="1" s="1"/>
  <c r="H589" i="1"/>
  <c r="G589" i="1"/>
  <c r="F589" i="1"/>
  <c r="E589" i="1"/>
  <c r="D589" i="1"/>
  <c r="D495" i="1"/>
  <c r="D494" i="1"/>
  <c r="F31" i="9" l="1"/>
  <c r="G590" i="1"/>
  <c r="E590" i="1"/>
  <c r="D31" i="11"/>
  <c r="I549" i="1"/>
  <c r="I517" i="1"/>
  <c r="I577" i="1"/>
  <c r="I548" i="1"/>
  <c r="I516" i="1"/>
  <c r="I578" i="1"/>
  <c r="I527" i="1"/>
  <c r="I558" i="1"/>
  <c r="H590" i="1"/>
  <c r="G30" i="9"/>
  <c r="D35" i="9" s="1"/>
  <c r="G577" i="1"/>
  <c r="G547" i="1"/>
  <c r="G515" i="1"/>
  <c r="D559" i="1"/>
  <c r="D528" i="1"/>
  <c r="F547" i="1"/>
  <c r="F577" i="1"/>
  <c r="F515" i="1"/>
  <c r="D31" i="9"/>
  <c r="G29" i="9"/>
  <c r="I559" i="1"/>
  <c r="I528" i="1"/>
  <c r="D31" i="2"/>
  <c r="G29" i="2"/>
  <c r="H578" i="1"/>
  <c r="H557" i="1"/>
  <c r="H526" i="1"/>
  <c r="C557" i="1"/>
  <c r="C526" i="1"/>
  <c r="C578" i="1"/>
  <c r="H577" i="1"/>
  <c r="H547" i="1"/>
  <c r="H515" i="1"/>
  <c r="E515" i="1"/>
  <c r="E547" i="1"/>
  <c r="E577" i="1"/>
  <c r="E557" i="1"/>
  <c r="E526" i="1"/>
  <c r="E578" i="1"/>
  <c r="D527" i="1"/>
  <c r="D578" i="1"/>
  <c r="D558" i="1"/>
  <c r="F578" i="1"/>
  <c r="F526" i="1"/>
  <c r="F557" i="1"/>
  <c r="F590" i="1"/>
  <c r="G15" i="9"/>
  <c r="G17" i="9" s="1"/>
  <c r="C183" i="3"/>
  <c r="C94" i="3"/>
  <c r="D35" i="2"/>
  <c r="D577" i="1"/>
  <c r="D516" i="1"/>
  <c r="D548" i="1"/>
  <c r="D517" i="1"/>
  <c r="D549" i="1"/>
  <c r="C590" i="1"/>
  <c r="C594" i="1"/>
  <c r="C593" i="1"/>
  <c r="C603" i="1" s="1"/>
  <c r="E15" i="11"/>
  <c r="F10" i="11"/>
  <c r="F14" i="11" s="1"/>
  <c r="E30" i="11"/>
  <c r="E29" i="11"/>
  <c r="G526" i="1"/>
  <c r="G578" i="1"/>
  <c r="G557" i="1"/>
  <c r="C518" i="1"/>
  <c r="C550" i="1"/>
  <c r="C519" i="1"/>
  <c r="C551" i="1"/>
  <c r="D590" i="1"/>
  <c r="C577" i="1"/>
  <c r="C547" i="1"/>
  <c r="E31" i="11" l="1"/>
  <c r="I579" i="1"/>
  <c r="E579" i="1"/>
  <c r="G579" i="1"/>
  <c r="F579" i="1"/>
  <c r="E183" i="3"/>
  <c r="C195" i="3"/>
  <c r="C182" i="3"/>
  <c r="C93" i="3"/>
  <c r="C95" i="3" s="1"/>
  <c r="D34" i="2"/>
  <c r="G31" i="2"/>
  <c r="D36" i="2" s="1"/>
  <c r="D42" i="2" s="1"/>
  <c r="C583" i="1"/>
  <c r="C579" i="1"/>
  <c r="F30" i="11"/>
  <c r="G30" i="11" s="1"/>
  <c r="D35" i="11" s="1"/>
  <c r="F15" i="11"/>
  <c r="G15" i="11" s="1"/>
  <c r="G17" i="11" s="1"/>
  <c r="F29" i="11"/>
  <c r="D34" i="9"/>
  <c r="G31" i="9"/>
  <c r="D36" i="9" s="1"/>
  <c r="D42" i="9" s="1"/>
  <c r="C582" i="1"/>
  <c r="C608" i="1" s="1"/>
  <c r="C595" i="1"/>
  <c r="C604" i="1"/>
  <c r="C104" i="3"/>
  <c r="E94" i="3"/>
  <c r="D579" i="1"/>
  <c r="H579" i="1"/>
  <c r="C584" i="1" l="1"/>
  <c r="D45" i="2"/>
  <c r="D46" i="2"/>
  <c r="G46" i="2" s="1"/>
  <c r="G48" i="2" s="1"/>
  <c r="D48" i="3" s="1"/>
  <c r="D50" i="3" s="1"/>
  <c r="C103" i="3"/>
  <c r="E103" i="3" s="1"/>
  <c r="E93" i="3"/>
  <c r="E95" i="3" s="1"/>
  <c r="D45" i="9"/>
  <c r="D46" i="9"/>
  <c r="G46" i="9" s="1"/>
  <c r="G48" i="9" s="1"/>
  <c r="C194" i="3"/>
  <c r="E194" i="3" s="1"/>
  <c r="E182" i="3"/>
  <c r="E184" i="3" s="1"/>
  <c r="F31" i="11"/>
  <c r="G29" i="11"/>
  <c r="E104" i="3"/>
  <c r="D110" i="3" s="1"/>
  <c r="E195" i="3"/>
  <c r="D202" i="3" s="1"/>
  <c r="C609" i="1"/>
  <c r="C610" i="1" s="1"/>
  <c r="C605" i="1"/>
  <c r="C184" i="3"/>
  <c r="C105" i="3" l="1"/>
  <c r="C196" i="3"/>
  <c r="E196" i="3"/>
  <c r="D201" i="3"/>
  <c r="G31" i="11"/>
  <c r="D36" i="11" s="1"/>
  <c r="D42" i="11" s="1"/>
  <c r="D34" i="11"/>
  <c r="C61" i="3"/>
  <c r="C57" i="3"/>
  <c r="C60" i="3"/>
  <c r="H57" i="3"/>
  <c r="G68" i="3"/>
  <c r="I70" i="3"/>
  <c r="H68" i="3"/>
  <c r="E68" i="3"/>
  <c r="C68" i="3"/>
  <c r="D70" i="3"/>
  <c r="D59" i="3"/>
  <c r="D69" i="3"/>
  <c r="G57" i="3"/>
  <c r="F57" i="3"/>
  <c r="I59" i="3"/>
  <c r="F68" i="3"/>
  <c r="D58" i="3"/>
  <c r="I69" i="3"/>
  <c r="I58" i="3"/>
  <c r="E57" i="3"/>
  <c r="D203" i="3"/>
  <c r="D109" i="3"/>
  <c r="E105" i="3"/>
  <c r="H80" i="3" l="1"/>
  <c r="I80" i="3"/>
  <c r="D81" i="3"/>
  <c r="I81" i="3"/>
  <c r="C81" i="3"/>
  <c r="H81" i="3"/>
  <c r="D45" i="11"/>
  <c r="D46" i="11"/>
  <c r="G46" i="11" s="1"/>
  <c r="G48" i="11" s="1"/>
  <c r="E80" i="3"/>
  <c r="C80" i="3"/>
  <c r="D80" i="3"/>
  <c r="F80" i="3"/>
  <c r="F81" i="3"/>
  <c r="F82" i="3" s="1"/>
  <c r="E81" i="3"/>
  <c r="D111" i="3"/>
  <c r="G80" i="3"/>
  <c r="G81" i="3"/>
  <c r="H82" i="3" l="1"/>
  <c r="G82" i="3"/>
  <c r="E82" i="3"/>
  <c r="D82" i="3"/>
  <c r="C85" i="3"/>
  <c r="C109" i="3" s="1"/>
  <c r="E109" i="3" s="1"/>
  <c r="G109" i="3" s="1"/>
  <c r="C82" i="3"/>
  <c r="C86" i="3"/>
  <c r="I82" i="3"/>
  <c r="H128" i="3" l="1"/>
  <c r="H121" i="3"/>
  <c r="F121" i="3"/>
  <c r="C125" i="3"/>
  <c r="I122" i="3"/>
  <c r="E121" i="3"/>
  <c r="C121" i="3"/>
  <c r="G121" i="3"/>
  <c r="I123" i="3"/>
  <c r="D123" i="3"/>
  <c r="C124" i="3"/>
  <c r="D122" i="3"/>
  <c r="C110" i="3"/>
  <c r="C87" i="3"/>
  <c r="C218" i="3" l="1"/>
  <c r="C169" i="3"/>
  <c r="I220" i="3"/>
  <c r="I145" i="3"/>
  <c r="I219" i="3"/>
  <c r="I144" i="3"/>
  <c r="H218" i="3"/>
  <c r="H143" i="3"/>
  <c r="H169" i="3"/>
  <c r="G218" i="3"/>
  <c r="G143" i="3"/>
  <c r="G169" i="3"/>
  <c r="C147" i="3"/>
  <c r="C222" i="3"/>
  <c r="D220" i="3"/>
  <c r="D145" i="3"/>
  <c r="H150" i="3"/>
  <c r="H225" i="3"/>
  <c r="E218" i="3"/>
  <c r="E143" i="3"/>
  <c r="E169" i="3"/>
  <c r="C111" i="3"/>
  <c r="E110" i="3"/>
  <c r="D144" i="3"/>
  <c r="D169" i="3"/>
  <c r="D219" i="3"/>
  <c r="C221" i="3"/>
  <c r="C146" i="3"/>
  <c r="F169" i="3"/>
  <c r="F143" i="3"/>
  <c r="F218" i="3"/>
  <c r="E111" i="3" l="1"/>
  <c r="G110" i="3"/>
  <c r="C174" i="3"/>
  <c r="C201" i="3" s="1"/>
  <c r="E201" i="3" s="1"/>
  <c r="H136" i="3" l="1"/>
  <c r="D133" i="3"/>
  <c r="E132" i="3"/>
  <c r="I133" i="3"/>
  <c r="I134" i="3"/>
  <c r="D134" i="3"/>
  <c r="F132" i="3"/>
  <c r="C132" i="3"/>
  <c r="H132" i="3"/>
  <c r="G132" i="3"/>
  <c r="I231" i="3" l="1"/>
  <c r="I156" i="3"/>
  <c r="D156" i="3"/>
  <c r="D231" i="3"/>
  <c r="I230" i="3"/>
  <c r="I155" i="3"/>
  <c r="D230" i="3"/>
  <c r="D155" i="3"/>
  <c r="D170" i="3"/>
  <c r="D171" i="3" s="1"/>
  <c r="C170" i="3"/>
  <c r="C154" i="3"/>
  <c r="C229" i="3"/>
  <c r="F229" i="3"/>
  <c r="F154" i="3"/>
  <c r="F170" i="3"/>
  <c r="F171" i="3" s="1"/>
  <c r="E229" i="3"/>
  <c r="E170" i="3"/>
  <c r="E171" i="3" s="1"/>
  <c r="E154" i="3"/>
  <c r="G229" i="3"/>
  <c r="G170" i="3"/>
  <c r="G171" i="3" s="1"/>
  <c r="G154" i="3"/>
  <c r="H170" i="3"/>
  <c r="H171" i="3" s="1"/>
  <c r="H229" i="3"/>
  <c r="H154" i="3"/>
  <c r="H233" i="3"/>
  <c r="H158" i="3"/>
  <c r="C175" i="3" l="1"/>
  <c r="C171" i="3"/>
  <c r="C176" i="3" l="1"/>
  <c r="C202" i="3"/>
  <c r="C203" i="3" l="1"/>
  <c r="E202" i="3"/>
  <c r="E203" i="3" s="1"/>
</calcChain>
</file>

<file path=xl/sharedStrings.xml><?xml version="1.0" encoding="utf-8"?>
<sst xmlns="http://schemas.openxmlformats.org/spreadsheetml/2006/main" count="1497" uniqueCount="469">
  <si>
    <t>&lt;&lt;&lt; Year of the auction</t>
  </si>
  <si>
    <t>Table #1</t>
  </si>
  <si>
    <t>% Usage During PJM On-Peak Period</t>
  </si>
  <si>
    <t>On-Peak periods defined as the 16 hr PJM Trading period, adj for NERC holidays</t>
  </si>
  <si>
    <t>Profile Meter Data</t>
  </si>
  <si>
    <t xml:space="preserve">   --- Other Analysis ---</t>
  </si>
  <si>
    <t xml:space="preserve"> -- Other Analysis --</t>
  </si>
  <si>
    <t>SC1</t>
  </si>
  <si>
    <t>SC3</t>
  </si>
  <si>
    <t>SC2 ND</t>
  </si>
  <si>
    <t>SC4</t>
  </si>
  <si>
    <t>SC6</t>
  </si>
  <si>
    <t>SC2 Dem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</si>
  <si>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</si>
  <si>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</si>
  <si>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</si>
  <si>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</si>
  <si>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</si>
  <si>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</si>
  <si>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</si>
  <si>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</si>
  <si>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</si>
  <si>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</si>
  <si>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</si>
  <si>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</si>
  <si>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Table #2</t>
  </si>
  <si>
    <t>% Usage During RECO On-Peak Billing Period</t>
  </si>
  <si>
    <t>On-Peak periods as defined in specified rate schedule</t>
  </si>
  <si>
    <t>N/A</t>
  </si>
  <si>
    <t>(data rounded to nearest %)</t>
  </si>
  <si>
    <t>SC1 TOD</t>
  </si>
  <si>
    <t>----</t>
  </si>
  <si>
    <t>Table #3</t>
  </si>
  <si>
    <t>Class Usage @ customer</t>
  </si>
  <si>
    <t>Usage by season</t>
  </si>
  <si>
    <t>in MWh</t>
  </si>
  <si>
    <t>Total</t>
  </si>
  <si>
    <t>winter MWh =</t>
  </si>
  <si>
    <t>on-peak</t>
  </si>
  <si>
    <t>off-peak</t>
  </si>
  <si>
    <t>summer MWh =</t>
  </si>
  <si>
    <t>Block1</t>
  </si>
  <si>
    <t>Block2</t>
  </si>
  <si>
    <t>Block3</t>
  </si>
  <si>
    <t>Calculation of TOU Rate Adjustment to Reflect Difference between RECO and PJM Time Periods</t>
  </si>
  <si>
    <t>Table #4</t>
  </si>
  <si>
    <t>Forwards Prices - Energy Only @ bulk system</t>
  </si>
  <si>
    <t>Tariff Based On-Peak</t>
  </si>
  <si>
    <t>in $/MWh (See Table 18)</t>
  </si>
  <si>
    <t>On-Peak</t>
  </si>
  <si>
    <t>Off-Peak</t>
  </si>
  <si>
    <t>PJM based On-Peak kWh</t>
  </si>
  <si>
    <t>Table #5</t>
  </si>
  <si>
    <t>Losses</t>
  </si>
  <si>
    <t>Expansion Factor =</t>
  </si>
  <si>
    <t>Expansion Factor (net</t>
  </si>
  <si>
    <t>Marginal Losses)</t>
  </si>
  <si>
    <t>Table #6</t>
  </si>
  <si>
    <t>Summary of Average BGS Energy Only Unit Costs @ customer - PJM Time Periods</t>
  </si>
  <si>
    <t>Delta between PJM and Tariff based On-Peak kWh</t>
  </si>
  <si>
    <t>based on Forwards prices corrected for basis differential &amp; losses</t>
  </si>
  <si>
    <t>in $/MWh</t>
  </si>
  <si>
    <t>Winter</t>
  </si>
  <si>
    <t>On-Peak MWh</t>
  </si>
  <si>
    <t>Summer - all hrs</t>
  </si>
  <si>
    <t>Associated $</t>
  </si>
  <si>
    <t>PJM on pk</t>
  </si>
  <si>
    <t>Rate Increment/MWh</t>
  </si>
  <si>
    <t>PJM off pk</t>
  </si>
  <si>
    <t>Summer</t>
  </si>
  <si>
    <t>Winter - all hrs</t>
  </si>
  <si>
    <t>Annual</t>
  </si>
  <si>
    <t>System Total</t>
  </si>
  <si>
    <t>Table #7</t>
  </si>
  <si>
    <t>Summary of Average BGS Energy Only Costs @ customer - PJM Time Periods</t>
  </si>
  <si>
    <t>in $1000</t>
  </si>
  <si>
    <t>Table #8</t>
  </si>
  <si>
    <t>Summary of Average BGS Energy Only Unit Costs @ customer - RECO Time Periods</t>
  </si>
  <si>
    <t>based on Forwards prices corrected for basis differential &amp; losses - RECO billing time periods in $/MWh</t>
  </si>
  <si>
    <t>RECO On pk</t>
  </si>
  <si>
    <t>RECO Off pk</t>
  </si>
  <si>
    <t>Annual Average</t>
  </si>
  <si>
    <t>System Average</t>
  </si>
  <si>
    <t>Table #9</t>
  </si>
  <si>
    <t>Generation &amp; Transmission Obligations and Costs and Other Adjustments</t>
  </si>
  <si>
    <t>in MW</t>
  </si>
  <si>
    <t>Total FP</t>
  </si>
  <si>
    <t>Gen Obl - MW</t>
  </si>
  <si>
    <t>Trans Obl - MW</t>
  </si>
  <si>
    <t># of Months and Days used in this analysis</t>
  </si>
  <si>
    <t>FPR</t>
  </si>
  <si>
    <t># of summer days =</t>
  </si>
  <si>
    <t># of summer months =</t>
  </si>
  <si>
    <t>RPM</t>
  </si>
  <si>
    <t># of winter days =</t>
  </si>
  <si>
    <t># of winter months =</t>
  </si>
  <si>
    <t>total # months =</t>
  </si>
  <si>
    <t>Transmission Cost*</t>
  </si>
  <si>
    <t>per MW-yr</t>
  </si>
  <si>
    <t>Generation Capacity cost</t>
  </si>
  <si>
    <t>summer</t>
  </si>
  <si>
    <t>$/MW/day</t>
  </si>
  <si>
    <t xml:space="preserve">Resulting avg gen cap cost = </t>
  </si>
  <si>
    <t>summer &gt;&gt;</t>
  </si>
  <si>
    <t>per kW/yr</t>
  </si>
  <si>
    <t>(see Table 19)</t>
  </si>
  <si>
    <t>winter</t>
  </si>
  <si>
    <t>winter  &gt;&gt;</t>
  </si>
  <si>
    <t>Current residential summer BGS charges</t>
  </si>
  <si>
    <t>Current Tariff and % of total summer usage</t>
  </si>
  <si>
    <t>Charges</t>
  </si>
  <si>
    <t>% usage</t>
  </si>
  <si>
    <t>Block 1 (0-600 kWh/month)</t>
  </si>
  <si>
    <t>¢/kWh</t>
  </si>
  <si>
    <t>Block 2 (&gt;600 kWh/month)</t>
  </si>
  <si>
    <t>Calculated inversion =</t>
  </si>
  <si>
    <t>Table #10</t>
  </si>
  <si>
    <t>Ancillary Services</t>
  </si>
  <si>
    <t>forecasted overall annual average</t>
  </si>
  <si>
    <t>/MWh</t>
  </si>
  <si>
    <t>Table #11</t>
  </si>
  <si>
    <t>Summary of Obligation Costs Expressed as $/MWh @ customer (for non-demand rates only)</t>
  </si>
  <si>
    <t>Transmission Obl - all months</t>
  </si>
  <si>
    <t xml:space="preserve">Generation Obl -                </t>
  </si>
  <si>
    <t>per annual MWh</t>
  </si>
  <si>
    <t>per summer MWh</t>
  </si>
  <si>
    <t>per winter MWh</t>
  </si>
  <si>
    <t>Table #12</t>
  </si>
  <si>
    <t>Summary of BGS Unit Costs @ customer</t>
  </si>
  <si>
    <r>
      <t xml:space="preserve">NON-DEMAND RATES </t>
    </r>
    <r>
      <rPr>
        <i/>
        <sz val="10"/>
        <rFont val="Arial"/>
        <family val="2"/>
      </rPr>
      <t>(includes energy, G&amp;T obligations, and Ancillary Services - adjusted to billing time periods in $/MWh)</t>
    </r>
  </si>
  <si>
    <t>Block 1</t>
  </si>
  <si>
    <t>Block 2</t>
  </si>
  <si>
    <t>Annual -all hrs</t>
  </si>
  <si>
    <r>
      <t xml:space="preserve">DEMAND RATES </t>
    </r>
    <r>
      <rPr>
        <i/>
        <sz val="10"/>
        <rFont val="Arial"/>
        <family val="2"/>
      </rPr>
      <t>(includes energy and Ancillary Services, G&amp;T obligations charged separately - adjusted to billing time periods in $/MWh)</t>
    </r>
  </si>
  <si>
    <t>PLUS:</t>
  </si>
  <si>
    <t>Gen Cost (per kW of Billed Demand/Month)</t>
  </si>
  <si>
    <t>Trans cost</t>
  </si>
  <si>
    <t>Annual - all hrs per MWh only</t>
  </si>
  <si>
    <t>all months</t>
  </si>
  <si>
    <t>per kW of T obl /month</t>
  </si>
  <si>
    <t>(Continued)</t>
  </si>
  <si>
    <t>Including T&amp;G Obligation $</t>
  </si>
  <si>
    <t>Annual - including T&amp;G Obl $</t>
  </si>
  <si>
    <t>ALL RATES</t>
  </si>
  <si>
    <t>Grand Total Cost in $1000 =</t>
  </si>
  <si>
    <t>SC2 Demands</t>
  </si>
  <si>
    <t>All-In Average cost @ customer =</t>
  </si>
  <si>
    <t>per MWh at customer (per customer metered MWh)</t>
  </si>
  <si>
    <t>All kW</t>
  </si>
  <si>
    <t>All-In Average costs @ transmission nodes =</t>
  </si>
  <si>
    <t>per MWH at transmission nodes (per metered MWh at transmission node)</t>
  </si>
  <si>
    <t>Table #13</t>
  </si>
  <si>
    <t>Ratio of BGS Unit Costs @ customer to All-In Average Cost @ transmission nodes</t>
  </si>
  <si>
    <t>NON-DEMAND RATES</t>
  </si>
  <si>
    <t>Includes energy, G&amp;T obligations, and Ancillary Services - adjusted to billing time periods</t>
  </si>
  <si>
    <t>Constant Blk 1</t>
  </si>
  <si>
    <t>Constant Blk 2</t>
  </si>
  <si>
    <t>Annual - all hrs</t>
  </si>
  <si>
    <t>DEMAND RATES</t>
  </si>
  <si>
    <t>Includes energy and Ancillary Services, G&amp;T obligations charged separately - adjusted to billing time periods</t>
  </si>
  <si>
    <t>Multiplier</t>
  </si>
  <si>
    <t>Constant</t>
  </si>
  <si>
    <t>Table #14</t>
  </si>
  <si>
    <t>Summary of BGS Unit Costs Less Transmission @ customer</t>
  </si>
  <si>
    <t>Includes energy, generation capacity obligation, and Ancillary Services - adjusted to billing time periods.  Transmission billed at retail tariff level.</t>
  </si>
  <si>
    <t>Includes energy and Ancillary Services, generation obligation charged separately - adjusted to billing time periods.</t>
  </si>
  <si>
    <t>Transmission billed at retail tariff level.  In $/MWh.</t>
  </si>
  <si>
    <t>Including Generation Obligation $</t>
  </si>
  <si>
    <t>All-In Average costs @ tansmission nodes =</t>
  </si>
  <si>
    <t>per MWh at tranmission node system (per metered MWh at transmission node)</t>
  </si>
  <si>
    <t>Table #15</t>
  </si>
  <si>
    <t>Ratio of BGS Unit Costs Less Transmission @ customer to All-In Average Cost @ transmission nodes</t>
  </si>
  <si>
    <t>includes energy and Ancillary Services, G&amp;T obligations charged separately - adjusted to billing time periods</t>
  </si>
  <si>
    <t>Table #16</t>
  </si>
  <si>
    <t>Summary of Total BGS Costs by Season</t>
  </si>
  <si>
    <t>Total Costs by Rate - in $1000</t>
  </si>
  <si>
    <t>% of Annual Total $ by Rate</t>
  </si>
  <si>
    <t>Total Costs - in $1000</t>
  </si>
  <si>
    <t>% of Annual Total $</t>
  </si>
  <si>
    <t xml:space="preserve">         If total $ were split on a per MWh basis (on transmission node MWhs):</t>
  </si>
  <si>
    <t>Ratio to All-In Cost</t>
  </si>
  <si>
    <t>per MWh @ transmission nodes</t>
  </si>
  <si>
    <t>Table #17</t>
  </si>
  <si>
    <t>Summary of Total BGS Costs by Season - Less Transmission</t>
  </si>
  <si>
    <t>Table #18</t>
  </si>
  <si>
    <t>Forward Energy Prices</t>
  </si>
  <si>
    <t>Zone to Western Hub</t>
  </si>
  <si>
    <t>PJM Forward Prices</t>
  </si>
  <si>
    <t>PJM Forward Prices - Energy Only @ bulk system</t>
  </si>
  <si>
    <t>Basis Differential</t>
  </si>
  <si>
    <t>(incl basis differential)</t>
  </si>
  <si>
    <t>Off/On Peak</t>
  </si>
  <si>
    <r>
      <t xml:space="preserve"> </t>
    </r>
    <r>
      <rPr>
        <i/>
        <sz val="10"/>
        <rFont val="Arial"/>
        <family val="2"/>
      </rPr>
      <t>in $/MWh</t>
    </r>
  </si>
  <si>
    <t>LMP ratio</t>
  </si>
  <si>
    <t>NYISO Forward Prices - Energy Only @ bulk system</t>
  </si>
  <si>
    <t>Weighted Average Forward Prices - Energy Only @ bulk</t>
  </si>
  <si>
    <t>PJM</t>
  </si>
  <si>
    <t>NYISO</t>
  </si>
  <si>
    <t>Table #19</t>
  </si>
  <si>
    <t>Generation Capacity Prices ($/MW/Day)</t>
  </si>
  <si>
    <t>PJM Base</t>
  </si>
  <si>
    <t>Weighted</t>
  </si>
  <si>
    <t xml:space="preserve"> Capacity</t>
  </si>
  <si>
    <t>Average</t>
  </si>
  <si>
    <t>$/kW/mo</t>
  </si>
  <si>
    <t>$/MW/mo</t>
  </si>
  <si>
    <t>Days</t>
  </si>
  <si>
    <t>Oct</t>
  </si>
  <si>
    <t>Nov</t>
  </si>
  <si>
    <t>Dec</t>
  </si>
  <si>
    <t>Jan</t>
  </si>
  <si>
    <t>Feb</t>
  </si>
  <si>
    <t>Mar</t>
  </si>
  <si>
    <t>Table #20</t>
  </si>
  <si>
    <t>Apr</t>
  </si>
  <si>
    <t xml:space="preserve">PJM Ancillary </t>
  </si>
  <si>
    <t xml:space="preserve">NYISO Ancillary </t>
  </si>
  <si>
    <t>Renewable</t>
  </si>
  <si>
    <t xml:space="preserve">Services </t>
  </si>
  <si>
    <t>Power Cost</t>
  </si>
  <si>
    <t>Assumptions:</t>
  </si>
  <si>
    <t>Gen Cost =</t>
  </si>
  <si>
    <t>per MW-day in summer</t>
  </si>
  <si>
    <t>RECO RFP MW</t>
  </si>
  <si>
    <t>per MW-day in winter</t>
  </si>
  <si>
    <t>Tranch MW</t>
  </si>
  <si>
    <t>Trans cost =</t>
  </si>
  <si>
    <t>RFP %</t>
  </si>
  <si>
    <t>Analysis time period =</t>
  </si>
  <si>
    <t>summer months</t>
  </si>
  <si>
    <t>winter months</t>
  </si>
  <si>
    <t>RECO Avg.x'mission</t>
  </si>
  <si>
    <t>$/MWh</t>
  </si>
  <si>
    <t>Ancillary Services =</t>
  </si>
  <si>
    <t>Cen/West x'mission cont</t>
  </si>
  <si>
    <t>Energy Costs =</t>
  </si>
  <si>
    <t>Actual RECO x'mission</t>
  </si>
  <si>
    <t>Usage patterns =</t>
  </si>
  <si>
    <t>Obligations =</t>
  </si>
  <si>
    <t>Losses =</t>
  </si>
  <si>
    <t>Per RECO's Third Party Supplier Agreement adjusted for PJM 500kV losses and inadvertent energy.</t>
  </si>
  <si>
    <t>PJM Time Periods =</t>
  </si>
  <si>
    <t xml:space="preserve">PJM trading time periods - 7 AM to 11 PM weekdays, local time, x NERC </t>
  </si>
  <si>
    <t>Holidays - New Year's, Memorial, 4th of July, Labor Day, Thanksgiving &amp; Christmas</t>
  </si>
  <si>
    <t>RECO Billing time periods =</t>
  </si>
  <si>
    <t>as per specific rate schedule</t>
  </si>
  <si>
    <t>No Longer Used</t>
  </si>
  <si>
    <t>Table #21</t>
  </si>
  <si>
    <t>Determination of Retail Rates to be Charged to BGS Customers</t>
  </si>
  <si>
    <t>All-In Average costs @ bulk system =</t>
  </si>
  <si>
    <t>* Price from Table A (which does not include</t>
  </si>
  <si>
    <t>Less Transmission</t>
  </si>
  <si>
    <t>transmission for the Central/Western Division).</t>
  </si>
  <si>
    <t xml:space="preserve">BGS Cost </t>
  </si>
  <si>
    <t>Central/West transmission contribution to weighted</t>
  </si>
  <si>
    <t>Retail BGS Rates (excl SUT) (¢/kWh)</t>
  </si>
  <si>
    <t>All kWh (¢/kWh)</t>
  </si>
  <si>
    <t>Peak kWh (¢/kWh)</t>
  </si>
  <si>
    <t>Off-Peak kWh (¢/kWh)</t>
  </si>
  <si>
    <t>Demand Charge ($/kW) All kW</t>
  </si>
  <si>
    <t>Retail BGS Rates (incl SUT) (¢/kWh)</t>
  </si>
  <si>
    <t>SUT @</t>
  </si>
  <si>
    <t>Table #21A</t>
  </si>
  <si>
    <r>
      <t>Determination of Retail Rates to be Charged to BGS Customers</t>
    </r>
    <r>
      <rPr>
        <b/>
        <i/>
        <sz val="8.6999999999999993"/>
        <rFont val="Arial"/>
        <family val="2"/>
      </rPr>
      <t xml:space="preserve"> (INCLUDING RETAIL TRANSMISSION RATES)</t>
    </r>
  </si>
  <si>
    <t>Transmission Rates (excl SUT)</t>
  </si>
  <si>
    <t>Cents/kWh</t>
  </si>
  <si>
    <t>Summer $/kW</t>
  </si>
  <si>
    <t>Winter $/kW</t>
  </si>
  <si>
    <t>Retail Shopping Credits (BGS and Transmission Rates) (excl SUT) (¢/kWh)</t>
  </si>
  <si>
    <t>Demand Charge ($/kW)</t>
  </si>
  <si>
    <t>Table #22</t>
  </si>
  <si>
    <t>Reconciliation of Customer Revenue and Supplier Payments</t>
  </si>
  <si>
    <t>Assumed Winning Bid Price =</t>
  </si>
  <si>
    <t>Payment Ratio - Summer =</t>
  </si>
  <si>
    <t>Payment Ratio - Winter =</t>
  </si>
  <si>
    <t>Supplier Price - Summer =</t>
  </si>
  <si>
    <t>Supplier Price - Winter =</t>
  </si>
  <si>
    <t>Total BGS Revenue (Excl SUT) - in $1000</t>
  </si>
  <si>
    <t>Total Supplier Payment - in $1000</t>
  </si>
  <si>
    <t>Less Transmission Credits</t>
  </si>
  <si>
    <t>Net BGS Cost</t>
  </si>
  <si>
    <t>Differences</t>
  </si>
  <si>
    <t>ROCKLAND ELECTRIC COMPANY</t>
  </si>
  <si>
    <t>Table A</t>
  </si>
  <si>
    <t>Weighted Average Price Calculation</t>
  </si>
  <si>
    <t>Auction</t>
  </si>
  <si>
    <t>Line #</t>
  </si>
  <si>
    <t>Specific BGS-FP Auction &gt;&gt;</t>
  </si>
  <si>
    <t>36 Month</t>
  </si>
  <si>
    <t>Notes:</t>
  </si>
  <si>
    <t>Tranches</t>
  </si>
  <si>
    <t>From then-current auction</t>
  </si>
  <si>
    <t>2(a)</t>
  </si>
  <si>
    <t>Winning Bid Price (¢/kWh)*</t>
  </si>
  <si>
    <t>Winning Auction Prices</t>
  </si>
  <si>
    <t>2(b)</t>
  </si>
  <si>
    <t>Capacity Proxy Price True-up - in (¢/kWh)*</t>
  </si>
  <si>
    <t>Entered After 2027 BGS Auction</t>
  </si>
  <si>
    <t>2(C)</t>
  </si>
  <si>
    <t xml:space="preserve"> = 2(a) + 2(b)</t>
  </si>
  <si>
    <t>Transmission (¢/kWh)</t>
  </si>
  <si>
    <t>Average transmission cost included in bid for existing tranches only</t>
  </si>
  <si>
    <t>BGS (¢/kWh)</t>
  </si>
  <si>
    <t xml:space="preserve">= 2(a) + 2(b) </t>
  </si>
  <si>
    <t>Weighted Avg BGS</t>
  </si>
  <si>
    <t>= (1) / Total Tranches * (3)</t>
  </si>
  <si>
    <t>Weighted Avg Trans</t>
  </si>
  <si>
    <t>Weighted Avg Total Price (¢/kWh)</t>
  </si>
  <si>
    <t>Seasonal Payment Factors</t>
  </si>
  <si>
    <t xml:space="preserve">                           Summer</t>
  </si>
  <si>
    <t>**</t>
  </si>
  <si>
    <t>From then-current Bid Factor Spreadsheet</t>
  </si>
  <si>
    <t xml:space="preserve">                           Winter</t>
  </si>
  <si>
    <t>Applicable Customer Usage @ transmission nodes</t>
  </si>
  <si>
    <t>(Eastern Division)</t>
  </si>
  <si>
    <t xml:space="preserve">                           Summer MWh</t>
  </si>
  <si>
    <t xml:space="preserve">                           Winter MWh</t>
  </si>
  <si>
    <t>Total Cost</t>
  </si>
  <si>
    <t>= (1) / Total Tranches * (3) / 100 * (6) * (8) * 1,000</t>
  </si>
  <si>
    <t>= (1) / Total Tranches * (3) / 100* (7) * (9) * 1,000</t>
  </si>
  <si>
    <t>= (11) + (12)</t>
  </si>
  <si>
    <t>Average Cost (NJ Statewide Auction)</t>
  </si>
  <si>
    <t>= sum(line 11) / (8) / 1000 * 100  rounded to 3 decimal places</t>
  </si>
  <si>
    <t>= sum(line 12) / (9) / 1000 * 100  rounded to 3 decimal places</t>
  </si>
  <si>
    <t>= sum(line 13) / (10) / 1000 * 100  rounded to 3 decimal places</t>
  </si>
  <si>
    <t>Average Cost (Including RECO RFP)</t>
  </si>
  <si>
    <t>BGS</t>
  </si>
  <si>
    <t>RECO</t>
  </si>
  <si>
    <t>RFP</t>
  </si>
  <si>
    <t>Includes RECO RFP equivalent tranches</t>
  </si>
  <si>
    <t>Price ¢/kWh</t>
  </si>
  <si>
    <t>Transmission</t>
  </si>
  <si>
    <t>= (19) - (20)</t>
  </si>
  <si>
    <t>= (17) / Total Tranches * (18)</t>
  </si>
  <si>
    <t>= (17) / Total Tranches * (19)</t>
  </si>
  <si>
    <t>Weighted Avg Total Price</t>
  </si>
  <si>
    <t>= (19)</t>
  </si>
  <si>
    <t>*  Includes Impact of PJM Marginal Losses</t>
  </si>
  <si>
    <t>** Auction results set to 1.0 to avoid using an atypical result from the current 12-month forward prices.</t>
  </si>
  <si>
    <t>Table B</t>
  </si>
  <si>
    <t>(from Table 15 of Bid Factor Spreadsheet)</t>
  </si>
  <si>
    <t>includes energy, G&amp;T obligations, and Ancillary Services - adjusted to billing time periods</t>
  </si>
  <si>
    <t>Table C</t>
  </si>
  <si>
    <t>Determination of Preliminary Retail Rates to be Charged to BGS Customers</t>
  </si>
  <si>
    <t>All-In Average costs @ Trans node =</t>
  </si>
  <si>
    <t>/MWh*</t>
  </si>
  <si>
    <t>/MWh**</t>
  </si>
  <si>
    <t>Table D</t>
  </si>
  <si>
    <t>Calculation of Rate Adjustment Factors</t>
  </si>
  <si>
    <t>Total Supplier Payments - in $1000</t>
  </si>
  <si>
    <t>Eastern Division</t>
  </si>
  <si>
    <t>Net BGS</t>
  </si>
  <si>
    <t>Central/Western Division</t>
  </si>
  <si>
    <t>Total RECO FP</t>
  </si>
  <si>
    <t>Rate</t>
  </si>
  <si>
    <t>Adjustment</t>
  </si>
  <si>
    <t>Revenue</t>
  </si>
  <si>
    <t>Costs</t>
  </si>
  <si>
    <t>Difference</t>
  </si>
  <si>
    <t>Factors</t>
  </si>
  <si>
    <t>Table E</t>
  </si>
  <si>
    <t>Final Retail BGS Rates (¢/kWh)</t>
  </si>
  <si>
    <t>Rates Excluding SUT:</t>
  </si>
  <si>
    <t>Rates Including SUT:</t>
  </si>
  <si>
    <t>Table F</t>
  </si>
  <si>
    <t>Spreadsheet Error Checking</t>
  </si>
  <si>
    <t>Supplier Payments - in $1000</t>
  </si>
  <si>
    <t>$/kW</t>
  </si>
  <si>
    <t>DETAILS OF RECO RFP AND INPUTS</t>
  </si>
  <si>
    <t>Summary of Usage By Season</t>
  </si>
  <si>
    <t>Sales:</t>
  </si>
  <si>
    <t>Eastern</t>
  </si>
  <si>
    <t>Cen/West</t>
  </si>
  <si>
    <t>Sendout:</t>
  </si>
  <si>
    <t>ORU Budget</t>
  </si>
  <si>
    <t>Total NUG</t>
  </si>
  <si>
    <t>Hedged Energy</t>
  </si>
  <si>
    <t>Unhedged Energy</t>
  </si>
  <si>
    <t>Hedged Capacity</t>
  </si>
  <si>
    <t>Unhedged Capacity</t>
  </si>
  <si>
    <t>Sendout (MWh)</t>
  </si>
  <si>
    <t>Output (MWh)</t>
  </si>
  <si>
    <t>Energy Charge ($/MWh)</t>
  </si>
  <si>
    <t>Total ($)</t>
  </si>
  <si>
    <t>ATC Forward Energy ($/MWh)</t>
  </si>
  <si>
    <t>Charge ($/MWh)</t>
  </si>
  <si>
    <t>Peak Load (MW)</t>
  </si>
  <si>
    <t>Capacity Charge ($/kW-month)</t>
  </si>
  <si>
    <t>Avg Annual Price for RECO RFP</t>
  </si>
  <si>
    <t>At Market NUGS</t>
  </si>
  <si>
    <t>MWh</t>
  </si>
  <si>
    <t>Usage by Season</t>
  </si>
  <si>
    <t>Expan Ftr</t>
  </si>
  <si>
    <t>Incl Losses</t>
  </si>
  <si>
    <t>RECO Eastern Division</t>
  </si>
  <si>
    <t>RECO Central/Western Divisions</t>
  </si>
  <si>
    <t>Summary</t>
  </si>
  <si>
    <t>SC2 Sales and Demands</t>
  </si>
  <si>
    <t>Actual Data</t>
  </si>
  <si>
    <t>Percent</t>
  </si>
  <si>
    <t>Number of</t>
  </si>
  <si>
    <t>Average Use/</t>
  </si>
  <si>
    <t>Non-Demand</t>
  </si>
  <si>
    <t>Demand</t>
  </si>
  <si>
    <t>Hours</t>
  </si>
  <si>
    <t>First</t>
  </si>
  <si>
    <t>Over 5</t>
  </si>
  <si>
    <t>% of 5kW</t>
  </si>
  <si>
    <t>Demand Billed</t>
  </si>
  <si>
    <t>Metered</t>
  </si>
  <si>
    <t>Metered MWh</t>
  </si>
  <si>
    <t>Use</t>
  </si>
  <si>
    <t>kW</t>
  </si>
  <si>
    <t>5 kW</t>
  </si>
  <si>
    <t>Per Cust</t>
  </si>
  <si>
    <t>Customers</t>
  </si>
  <si>
    <t>Jun</t>
  </si>
  <si>
    <t>Jul</t>
  </si>
  <si>
    <t>Aug</t>
  </si>
  <si>
    <t>Sep</t>
  </si>
  <si>
    <t>Forecast Data - Without CIEP Expansion</t>
  </si>
  <si>
    <t>Forecast Data - CIEP Figures</t>
  </si>
  <si>
    <t>Forecast Data</t>
  </si>
  <si>
    <t>SC1 Blocking Percentages (Rate Case Historical Billing Determinants)</t>
  </si>
  <si>
    <t>Percentages</t>
  </si>
  <si>
    <t>First 600 kWh</t>
  </si>
  <si>
    <t>Over 600 kWh (incl WH)</t>
  </si>
  <si>
    <t>Development of  Capacity Proxy Price True-Up - $/MWh</t>
  </si>
  <si>
    <t>Using 2027/2028 Illustrative Data for RECO</t>
  </si>
  <si>
    <t>Capacity Proxy Price True-Up Development for Winning Suppliers from 2025 BGS-RSCP Auction</t>
  </si>
  <si>
    <t>2027/28
Delivery Year</t>
  </si>
  <si>
    <t>Zonal Capacity Price ($/MW-day)</t>
  </si>
  <si>
    <t>as may be determined by the RPM or its successor or otherwise</t>
  </si>
  <si>
    <t>Capacity Proxy Price ($/MW-day)</t>
  </si>
  <si>
    <t>per Board Orders dated 11/21/2024</t>
  </si>
  <si>
    <t>Capacity Proxy Price True-Up - $/MW-day</t>
  </si>
  <si>
    <t xml:space="preserve">= line 1 - line 2 </t>
  </si>
  <si>
    <t>BGS-RSCP Gen Obl - MW</t>
  </si>
  <si>
    <t>Days in Year</t>
  </si>
  <si>
    <t xml:space="preserve">Capacity Proxy Price True-Up Annual Cost </t>
  </si>
  <si>
    <t>= line 3 * line 4 * line 5</t>
  </si>
  <si>
    <t>Eligible Tranches</t>
  </si>
  <si>
    <t>from Table A</t>
  </si>
  <si>
    <t>Total Tranches</t>
  </si>
  <si>
    <t>% of tranches eligible for payment</t>
  </si>
  <si>
    <t>= line 7 / line 8</t>
  </si>
  <si>
    <t xml:space="preserve">Capacity Proxy Price True-Up Cost </t>
  </si>
  <si>
    <t>= line 6 * line 9</t>
  </si>
  <si>
    <r>
      <t xml:space="preserve">Total Applicable Customer Usage @ transmission nodes </t>
    </r>
    <r>
      <rPr>
        <b/>
        <i/>
        <sz val="10"/>
        <rFont val="Arial"/>
        <family val="2"/>
      </rPr>
      <t xml:space="preserve">- </t>
    </r>
    <r>
      <rPr>
        <i/>
        <sz val="10"/>
        <rFont val="Arial"/>
        <family val="2"/>
      </rPr>
      <t>in MWh</t>
    </r>
  </si>
  <si>
    <r>
      <t xml:space="preserve">Eligible Customer Usage @ transmission nodes </t>
    </r>
    <r>
      <rPr>
        <b/>
        <i/>
        <sz val="10"/>
        <rFont val="Arial"/>
        <family val="2"/>
      </rPr>
      <t xml:space="preserve">- </t>
    </r>
    <r>
      <rPr>
        <i/>
        <sz val="10"/>
        <rFont val="Arial"/>
        <family val="2"/>
      </rPr>
      <t>in MWh</t>
    </r>
  </si>
  <si>
    <t>= line 9 * line 11</t>
  </si>
  <si>
    <t>Capacity Proxy Price True-Up - $/MWh</t>
  </si>
  <si>
    <t>= line 10/ line 12 - rounded to 2 decimal places</t>
  </si>
  <si>
    <t>Using 2028/2029 Illustrative Data for RECO</t>
  </si>
  <si>
    <t xml:space="preserve">Capacity Proxy Price True-Up Development for Winning Suppliers from 2026 BGS-RSCP Auction </t>
  </si>
  <si>
    <t>Capacity Proxy Price True-Up Development for Winning Suppliers from 2027 BGS-RSCP Auction (If needed)</t>
  </si>
  <si>
    <t>2028/29
Delivery Year</t>
  </si>
  <si>
    <t>per Board Orders dated 11/21/2025 and XX/XX/2026</t>
  </si>
  <si>
    <t>2028 BGS Auction</t>
  </si>
  <si>
    <t>Entered After 2028 BGS Auction</t>
  </si>
  <si>
    <t>BGS Auction from (16)</t>
  </si>
  <si>
    <t>Using 2029/2030 Illustrative Data for RECO</t>
  </si>
  <si>
    <t>2029/30
Delivery Year</t>
  </si>
  <si>
    <t>per Board Order dated XX/XX/2026</t>
  </si>
  <si>
    <t>2029 BGS Auction</t>
  </si>
  <si>
    <t>Illustrative Purposes Only</t>
  </si>
  <si>
    <t>Entered After 2029 BGS Auction</t>
  </si>
  <si>
    <t>Based on Jun  2027 to May 2028 Forwards @ PJM West as of June 01, 2026</t>
  </si>
  <si>
    <t>Based on Jun 2027 to May 2028 Forwards @ NYISO Zone G and Lower Hudson Valley (LHV) as of June 22,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</si>
</sst>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0.00000"/>
    <numFmt numFmtId="166" formatCode="_(&quot;$&quot;* #,##0_);_(&quot;$&quot;* \(#,##0\);_(&quot;$&quot;* &quot;-&quot;??_);_(@_)"/>
    <numFmt numFmtId="167" formatCode="#,##0.000"/>
    <numFmt numFmtId="168" formatCode="#,##0.0"/>
    <numFmt numFmtId="169" formatCode="#,##0.00000"/>
    <numFmt numFmtId="170" formatCode="_(* #,##0_);_(* \(#,##0\);_(* &quot;-&quot;??_);_(@_)"/>
    <numFmt numFmtId="171" formatCode="0.000"/>
    <numFmt numFmtId="172" formatCode="_(&quot;$&quot;* #,##0.000_);_(&quot;$&quot;* \(#,##0.000\);_(&quot;$&quot;* &quot;-&quot;??_);_(@_)"/>
    <numFmt numFmtId="173" formatCode="_(&quot;$&quot;* #,##0.0000_);_(&quot;$&quot;* \(#,##0.0000\);_(&quot;$&quot;* &quot;-&quot;??_);_(@_)"/>
    <numFmt numFmtId="174" formatCode="_(* #,##0.000_);_(* \(#,##0.000\);_(* &quot;-&quot;??_);_(@_)"/>
    <numFmt numFmtId="175" formatCode="_(* #,##0.0000_);_(* \(#,##0.0000\);_(* &quot;-&quot;??_);_(@_)"/>
    <numFmt numFmtId="176" formatCode="0.0000"/>
    <numFmt numFmtId="177" formatCode="&quot;$&quot;#,##0.00"/>
    <numFmt numFmtId="178" formatCode="0.000%"/>
    <numFmt numFmtId="179" formatCode="#,##0.000_);\(#,##0.000\)"/>
    <numFmt numFmtId="180" formatCode="_(* #,##0.000000_);_(* \(#,##0.000000\);_(* &quot;-&quot;??_);_(@_)"/>
    <numFmt numFmtId="181" formatCode="0.00_);\(0.00\)"/>
    <numFmt numFmtId="182" formatCode="0.000000"/>
    <numFmt numFmtId="183" formatCode="&quot;$&quot;#,##0"/>
  </numFmts>
  <fonts count="27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i/>
      <u/>
      <sz val="10"/>
      <name val="Arial"/>
      <family val="2"/>
    </font>
    <font>
      <b/>
      <sz val="10"/>
      <name val="Arial"/>
      <family val="2"/>
    </font>
    <font>
      <i/>
      <u/>
      <sz val="10"/>
      <name val="Arial"/>
      <family val="2"/>
    </font>
    <font>
      <b/>
      <i/>
      <sz val="12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u/>
      <sz val="10"/>
      <name val="Arial Narrow"/>
      <family val="2"/>
    </font>
    <font>
      <b/>
      <u/>
      <sz val="10"/>
      <name val="Arial Narrow"/>
      <family val="2"/>
    </font>
    <font>
      <sz val="8"/>
      <name val="Arial"/>
      <family val="2"/>
    </font>
    <font>
      <b/>
      <i/>
      <sz val="8.6999999999999993"/>
      <name val="Arial"/>
      <family val="2"/>
    </font>
    <font>
      <u/>
      <sz val="8"/>
      <name val="Arial"/>
      <family val="2"/>
    </font>
    <font>
      <b/>
      <sz val="8"/>
      <name val="Arial"/>
      <family val="2"/>
    </font>
    <font>
      <u val="singleAccounting"/>
      <sz val="10"/>
      <name val="Arial"/>
      <family val="2"/>
    </font>
    <font>
      <sz val="10"/>
      <color theme="0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sz val="10"/>
      <color indexed="10"/>
      <name val="Arial"/>
      <family val="2"/>
    </font>
    <font>
      <u/>
      <sz val="10"/>
      <color indexed="12"/>
      <name val="Arial"/>
      <family val="2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</cellStyleXfs>
  <cellXfs count="38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1" fillId="0" borderId="0" xfId="0" applyFont="1"/>
    <xf numFmtId="0" fontId="3" fillId="0" borderId="0" xfId="0" applyFont="1"/>
    <xf numFmtId="1" fontId="4" fillId="0" borderId="0" xfId="1" applyNumberFormat="1" applyFont="1" applyFill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quotePrefix="1" applyFont="1" applyAlignment="1">
      <alignment horizontal="left"/>
    </xf>
    <xf numFmtId="0" fontId="8" fillId="0" borderId="0" xfId="0" applyFont="1" applyAlignment="1">
      <alignment horizontal="left"/>
    </xf>
    <xf numFmtId="0" fontId="4" fillId="0" borderId="0" xfId="0" quotePrefix="1" applyFont="1"/>
    <xf numFmtId="39" fontId="1" fillId="0" borderId="0" xfId="0" quotePrefix="1" applyNumberFormat="1" applyFont="1"/>
    <xf numFmtId="0" fontId="7" fillId="0" borderId="0" xfId="0" applyFont="1"/>
    <xf numFmtId="0" fontId="4" fillId="0" borderId="0" xfId="0" quotePrefix="1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7" fillId="0" borderId="0" xfId="0" quotePrefix="1" applyFont="1"/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7" fontId="1" fillId="0" borderId="0" xfId="0" applyNumberFormat="1" applyFont="1"/>
    <xf numFmtId="10" fontId="1" fillId="0" borderId="0" xfId="3" quotePrefix="1" applyNumberFormat="1" applyFont="1" applyFill="1"/>
    <xf numFmtId="164" fontId="1" fillId="0" borderId="0" xfId="3" quotePrefix="1" applyNumberFormat="1" applyFont="1" applyFill="1"/>
    <xf numFmtId="9" fontId="1" fillId="0" borderId="0" xfId="3" quotePrefix="1" applyFont="1" applyFill="1"/>
    <xf numFmtId="10" fontId="1" fillId="0" borderId="0" xfId="0" applyNumberFormat="1" applyFont="1"/>
    <xf numFmtId="10" fontId="1" fillId="0" borderId="0" xfId="3" applyNumberFormat="1" applyFont="1" applyFill="1"/>
    <xf numFmtId="9" fontId="1" fillId="0" borderId="0" xfId="3" applyFont="1" applyFill="1"/>
    <xf numFmtId="9" fontId="7" fillId="0" borderId="0" xfId="3" applyFont="1" applyFill="1"/>
    <xf numFmtId="0" fontId="7" fillId="0" borderId="0" xfId="0" quotePrefix="1" applyFont="1" applyAlignment="1">
      <alignment horizontal="center" wrapText="1"/>
    </xf>
    <xf numFmtId="9" fontId="1" fillId="0" borderId="0" xfId="3" quotePrefix="1" applyFont="1" applyFill="1" applyAlignment="1">
      <alignment horizontal="center"/>
    </xf>
    <xf numFmtId="164" fontId="1" fillId="0" borderId="0" xfId="3" quotePrefix="1" applyNumberFormat="1" applyFont="1" applyFill="1" applyAlignment="1">
      <alignment horizontal="right"/>
    </xf>
    <xf numFmtId="17" fontId="4" fillId="0" borderId="0" xfId="0" applyNumberFormat="1" applyFont="1"/>
    <xf numFmtId="0" fontId="4" fillId="0" borderId="0" xfId="0" applyFont="1"/>
    <xf numFmtId="17" fontId="7" fillId="0" borderId="0" xfId="0" quotePrefix="1" applyNumberFormat="1" applyFont="1" applyAlignment="1">
      <alignment horizontal="left"/>
    </xf>
    <xf numFmtId="0" fontId="9" fillId="0" borderId="0" xfId="0" applyFont="1" applyAlignment="1">
      <alignment horizontal="right"/>
    </xf>
    <xf numFmtId="3" fontId="1" fillId="0" borderId="0" xfId="0" applyNumberFormat="1" applyFont="1"/>
    <xf numFmtId="0" fontId="1" fillId="0" borderId="0" xfId="0" applyFont="1" applyAlignment="1">
      <alignment horizontal="right"/>
    </xf>
    <xf numFmtId="3" fontId="1" fillId="0" borderId="0" xfId="0" quotePrefix="1" applyNumberFormat="1" applyFont="1"/>
    <xf numFmtId="0" fontId="1" fillId="0" borderId="0" xfId="0" quotePrefix="1" applyFont="1" applyAlignment="1">
      <alignment horizontal="right"/>
    </xf>
    <xf numFmtId="3" fontId="10" fillId="0" borderId="0" xfId="0" applyNumberFormat="1" applyFont="1"/>
    <xf numFmtId="17" fontId="1" fillId="0" borderId="0" xfId="0" applyNumberFormat="1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8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4" xfId="0" applyFont="1" applyBorder="1"/>
    <xf numFmtId="0" fontId="4" fillId="0" borderId="5" xfId="0" applyFont="1" applyBorder="1" applyAlignment="1">
      <alignment horizontal="center"/>
    </xf>
    <xf numFmtId="3" fontId="1" fillId="0" borderId="4" xfId="0" applyNumberFormat="1" applyFont="1" applyBorder="1"/>
    <xf numFmtId="4" fontId="1" fillId="0" borderId="0" xfId="0" applyNumberFormat="1" applyFont="1"/>
    <xf numFmtId="3" fontId="1" fillId="0" borderId="0" xfId="0" quotePrefix="1" applyNumberFormat="1" applyFont="1" applyAlignment="1">
      <alignment horizontal="right"/>
    </xf>
    <xf numFmtId="165" fontId="1" fillId="0" borderId="0" xfId="0" applyNumberFormat="1" applyFont="1"/>
    <xf numFmtId="0" fontId="8" fillId="0" borderId="0" xfId="0" quotePrefix="1" applyFont="1" applyAlignment="1">
      <alignment horizontal="left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0" fontId="9" fillId="0" borderId="0" xfId="0" applyFont="1"/>
    <xf numFmtId="44" fontId="1" fillId="0" borderId="0" xfId="2" quotePrefix="1" applyFont="1" applyFill="1"/>
    <xf numFmtId="166" fontId="1" fillId="0" borderId="0" xfId="2" applyNumberFormat="1" applyFont="1" applyFill="1" applyBorder="1"/>
    <xf numFmtId="17" fontId="1" fillId="0" borderId="0" xfId="0" applyNumberFormat="1" applyFont="1" applyAlignment="1">
      <alignment horizontal="right"/>
    </xf>
    <xf numFmtId="44" fontId="1" fillId="0" borderId="0" xfId="0" applyNumberFormat="1" applyFont="1"/>
    <xf numFmtId="44" fontId="1" fillId="0" borderId="0" xfId="2" applyFont="1" applyFill="1"/>
    <xf numFmtId="166" fontId="1" fillId="0" borderId="0" xfId="0" applyNumberFormat="1" applyFont="1"/>
    <xf numFmtId="166" fontId="1" fillId="0" borderId="0" xfId="2" quotePrefix="1" applyNumberFormat="1" applyFont="1" applyFill="1"/>
    <xf numFmtId="166" fontId="1" fillId="0" borderId="0" xfId="2" applyNumberFormat="1" applyFont="1" applyFill="1"/>
    <xf numFmtId="39" fontId="1" fillId="0" borderId="0" xfId="0" applyNumberFormat="1" applyFont="1"/>
    <xf numFmtId="14" fontId="1" fillId="0" borderId="0" xfId="0" applyNumberFormat="1" applyFont="1"/>
    <xf numFmtId="167" fontId="1" fillId="0" borderId="0" xfId="0" applyNumberFormat="1" applyFont="1"/>
    <xf numFmtId="168" fontId="1" fillId="0" borderId="0" xfId="0" applyNumberFormat="1" applyFont="1"/>
    <xf numFmtId="168" fontId="4" fillId="0" borderId="0" xfId="0" applyNumberFormat="1" applyFont="1"/>
    <xf numFmtId="169" fontId="1" fillId="0" borderId="0" xfId="0" applyNumberFormat="1" applyFont="1"/>
    <xf numFmtId="170" fontId="1" fillId="0" borderId="0" xfId="0" applyNumberFormat="1" applyFont="1"/>
    <xf numFmtId="168" fontId="1" fillId="0" borderId="0" xfId="0" applyNumberFormat="1" applyFont="1" applyAlignment="1">
      <alignment horizontal="right"/>
    </xf>
    <xf numFmtId="43" fontId="1" fillId="0" borderId="0" xfId="1" applyFont="1" applyFill="1"/>
    <xf numFmtId="0" fontId="1" fillId="0" borderId="0" xfId="0" quotePrefix="1" applyFont="1"/>
    <xf numFmtId="43" fontId="1" fillId="0" borderId="0" xfId="0" applyNumberFormat="1" applyFont="1"/>
    <xf numFmtId="7" fontId="1" fillId="0" borderId="0" xfId="2" applyNumberFormat="1" applyFont="1" applyFill="1"/>
    <xf numFmtId="0" fontId="1" fillId="0" borderId="0" xfId="0" quotePrefix="1" applyFont="1" applyAlignment="1">
      <alignment horizontal="left"/>
    </xf>
    <xf numFmtId="0" fontId="4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171" fontId="1" fillId="0" borderId="0" xfId="0" applyNumberFormat="1" applyFont="1"/>
    <xf numFmtId="7" fontId="1" fillId="0" borderId="0" xfId="0" applyNumberFormat="1" applyFont="1"/>
    <xf numFmtId="5" fontId="1" fillId="0" borderId="0" xfId="0" applyNumberFormat="1" applyFont="1"/>
    <xf numFmtId="44" fontId="1" fillId="0" borderId="0" xfId="2" quotePrefix="1" applyFont="1" applyFill="1" applyAlignment="1">
      <alignment horizontal="left"/>
    </xf>
    <xf numFmtId="0" fontId="10" fillId="0" borderId="0" xfId="0" quotePrefix="1" applyFont="1" applyAlignment="1">
      <alignment horizontal="left"/>
    </xf>
    <xf numFmtId="0" fontId="4" fillId="0" borderId="0" xfId="0" applyFont="1" applyAlignment="1">
      <alignment horizontal="right"/>
    </xf>
    <xf numFmtId="172" fontId="1" fillId="0" borderId="0" xfId="2" quotePrefix="1" applyNumberFormat="1" applyFont="1" applyFill="1"/>
    <xf numFmtId="172" fontId="1" fillId="0" borderId="0" xfId="0" applyNumberFormat="1" applyFont="1"/>
    <xf numFmtId="0" fontId="10" fillId="0" borderId="0" xfId="0" applyFont="1" applyAlignment="1">
      <alignment horizontal="left"/>
    </xf>
    <xf numFmtId="0" fontId="8" fillId="0" borderId="0" xfId="0" applyFont="1"/>
    <xf numFmtId="0" fontId="11" fillId="0" borderId="0" xfId="0" applyFont="1"/>
    <xf numFmtId="0" fontId="12" fillId="0" borderId="0" xfId="0" applyFont="1"/>
    <xf numFmtId="17" fontId="10" fillId="0" borderId="0" xfId="0" applyNumberFormat="1" applyFont="1" applyAlignment="1">
      <alignment horizontal="left"/>
    </xf>
    <xf numFmtId="0" fontId="10" fillId="0" borderId="4" xfId="0" quotePrefix="1" applyFont="1" applyBorder="1" applyAlignment="1">
      <alignment horizontal="left"/>
    </xf>
    <xf numFmtId="0" fontId="13" fillId="0" borderId="0" xfId="0" quotePrefix="1" applyFont="1" applyAlignment="1">
      <alignment horizontal="left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9" fontId="12" fillId="0" borderId="0" xfId="0" applyNumberFormat="1" applyFont="1"/>
    <xf numFmtId="172" fontId="12" fillId="0" borderId="0" xfId="2" quotePrefix="1" applyNumberFormat="1" applyFont="1" applyFill="1"/>
    <xf numFmtId="3" fontId="12" fillId="0" borderId="0" xfId="0" quotePrefix="1" applyNumberFormat="1" applyFont="1"/>
    <xf numFmtId="3" fontId="12" fillId="0" borderId="0" xfId="0" applyNumberFormat="1" applyFont="1"/>
    <xf numFmtId="4" fontId="12" fillId="0" borderId="0" xfId="0" applyNumberFormat="1" applyFont="1"/>
    <xf numFmtId="0" fontId="13" fillId="0" borderId="0" xfId="0" applyFont="1" applyAlignment="1">
      <alignment horizontal="left"/>
    </xf>
    <xf numFmtId="0" fontId="12" fillId="0" borderId="0" xfId="0" quotePrefix="1" applyFont="1"/>
    <xf numFmtId="44" fontId="12" fillId="0" borderId="0" xfId="2" applyFont="1" applyFill="1"/>
    <xf numFmtId="44" fontId="12" fillId="0" borderId="0" xfId="0" applyNumberFormat="1" applyFont="1"/>
    <xf numFmtId="166" fontId="1" fillId="0" borderId="0" xfId="2" quotePrefix="1" applyNumberFormat="1" applyFont="1" applyFill="1" applyAlignment="1">
      <alignment horizontal="left"/>
    </xf>
    <xf numFmtId="166" fontId="1" fillId="0" borderId="6" xfId="0" applyNumberFormat="1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3" fontId="1" fillId="0" borderId="9" xfId="0" applyNumberFormat="1" applyFont="1" applyBorder="1"/>
    <xf numFmtId="0" fontId="1" fillId="0" borderId="10" xfId="0" applyFont="1" applyBorder="1"/>
    <xf numFmtId="3" fontId="1" fillId="0" borderId="11" xfId="0" applyNumberFormat="1" applyFont="1" applyBorder="1"/>
    <xf numFmtId="173" fontId="1" fillId="0" borderId="0" xfId="0" applyNumberFormat="1" applyFont="1"/>
    <xf numFmtId="174" fontId="4" fillId="0" borderId="0" xfId="1" quotePrefix="1" applyNumberFormat="1" applyFont="1" applyFill="1" applyBorder="1"/>
    <xf numFmtId="43" fontId="1" fillId="0" borderId="0" xfId="1" quotePrefix="1" applyFont="1" applyFill="1" applyBorder="1"/>
    <xf numFmtId="43" fontId="1" fillId="0" borderId="0" xfId="1" quotePrefix="1" applyFont="1" applyFill="1"/>
    <xf numFmtId="43" fontId="4" fillId="0" borderId="0" xfId="1" quotePrefix="1" applyFont="1" applyFill="1" applyBorder="1"/>
    <xf numFmtId="0" fontId="4" fillId="0" borderId="0" xfId="0" quotePrefix="1" applyFont="1" applyAlignment="1">
      <alignment horizontal="right"/>
    </xf>
    <xf numFmtId="44" fontId="4" fillId="0" borderId="0" xfId="2" quotePrefix="1" applyFont="1" applyFill="1" applyBorder="1"/>
    <xf numFmtId="174" fontId="1" fillId="0" borderId="0" xfId="1" quotePrefix="1" applyNumberFormat="1" applyFont="1" applyFill="1" applyBorder="1"/>
    <xf numFmtId="175" fontId="4" fillId="0" borderId="0" xfId="1" quotePrefix="1" applyNumberFormat="1" applyFont="1" applyFill="1"/>
    <xf numFmtId="174" fontId="1" fillId="0" borderId="0" xfId="1" quotePrefix="1" applyNumberFormat="1" applyFont="1" applyFill="1"/>
    <xf numFmtId="0" fontId="4" fillId="0" borderId="4" xfId="0" applyFont="1" applyBorder="1"/>
    <xf numFmtId="172" fontId="4" fillId="0" borderId="0" xfId="0" applyNumberFormat="1" applyFont="1"/>
    <xf numFmtId="17" fontId="1" fillId="0" borderId="0" xfId="0" quotePrefix="1" applyNumberFormat="1" applyFont="1" applyAlignment="1">
      <alignment horizontal="right"/>
    </xf>
    <xf numFmtId="44" fontId="4" fillId="0" borderId="0" xfId="0" applyNumberFormat="1" applyFont="1"/>
    <xf numFmtId="0" fontId="1" fillId="0" borderId="4" xfId="0" applyFont="1" applyBorder="1" applyAlignment="1">
      <alignment horizontal="right"/>
    </xf>
    <xf numFmtId="0" fontId="10" fillId="0" borderId="4" xfId="0" applyFont="1" applyBorder="1" applyAlignment="1">
      <alignment horizontal="left"/>
    </xf>
    <xf numFmtId="17" fontId="10" fillId="0" borderId="0" xfId="0" quotePrefix="1" applyNumberFormat="1" applyFont="1" applyAlignment="1">
      <alignment horizontal="left"/>
    </xf>
    <xf numFmtId="43" fontId="4" fillId="0" borderId="0" xfId="1" quotePrefix="1" applyFont="1" applyFill="1"/>
    <xf numFmtId="174" fontId="4" fillId="0" borderId="0" xfId="1" quotePrefix="1" applyNumberFormat="1" applyFont="1" applyFill="1"/>
    <xf numFmtId="0" fontId="9" fillId="0" borderId="0" xfId="0" quotePrefix="1" applyFont="1" applyAlignment="1">
      <alignment horizontal="right"/>
    </xf>
    <xf numFmtId="174" fontId="4" fillId="0" borderId="0" xfId="0" applyNumberFormat="1" applyFont="1"/>
    <xf numFmtId="174" fontId="1" fillId="0" borderId="0" xfId="0" applyNumberFormat="1" applyFont="1"/>
    <xf numFmtId="166" fontId="1" fillId="0" borderId="0" xfId="0" quotePrefix="1" applyNumberFormat="1" applyFont="1" applyAlignment="1">
      <alignment horizontal="left"/>
    </xf>
    <xf numFmtId="166" fontId="1" fillId="0" borderId="0" xfId="3" applyNumberFormat="1" applyFont="1" applyFill="1"/>
    <xf numFmtId="175" fontId="4" fillId="0" borderId="0" xfId="1" applyNumberFormat="1" applyFont="1" applyFill="1"/>
    <xf numFmtId="43" fontId="4" fillId="0" borderId="0" xfId="1" applyFont="1" applyFill="1"/>
    <xf numFmtId="0" fontId="1" fillId="0" borderId="5" xfId="0" applyFont="1" applyBorder="1" applyAlignment="1">
      <alignment horizontal="right"/>
    </xf>
    <xf numFmtId="0" fontId="4" fillId="0" borderId="0" xfId="0" applyFont="1" applyAlignment="1">
      <alignment horizontal="left"/>
    </xf>
    <xf numFmtId="0" fontId="9" fillId="0" borderId="5" xfId="0" applyFont="1" applyBorder="1" applyAlignment="1">
      <alignment horizontal="right"/>
    </xf>
    <xf numFmtId="164" fontId="1" fillId="0" borderId="0" xfId="0" applyNumberFormat="1" applyFont="1"/>
    <xf numFmtId="0" fontId="10" fillId="0" borderId="0" xfId="0" applyFont="1" applyAlignment="1">
      <alignment horizontal="center"/>
    </xf>
    <xf numFmtId="164" fontId="10" fillId="0" borderId="0" xfId="3" applyNumberFormat="1" applyFont="1" applyFill="1"/>
    <xf numFmtId="0" fontId="10" fillId="0" borderId="0" xfId="0" applyFont="1" applyAlignment="1">
      <alignment horizontal="right"/>
    </xf>
    <xf numFmtId="7" fontId="1" fillId="0" borderId="0" xfId="0" applyNumberFormat="1" applyFont="1" applyAlignment="1">
      <alignment horizontal="right"/>
    </xf>
    <xf numFmtId="43" fontId="1" fillId="0" borderId="0" xfId="2" applyNumberFormat="1" applyFont="1" applyFill="1"/>
    <xf numFmtId="7" fontId="1" fillId="0" borderId="0" xfId="3" applyNumberFormat="1" applyFont="1" applyFill="1"/>
    <xf numFmtId="0" fontId="15" fillId="0" borderId="6" xfId="0" applyFont="1" applyBorder="1"/>
    <xf numFmtId="2" fontId="1" fillId="0" borderId="12" xfId="0" applyNumberFormat="1" applyFont="1" applyBorder="1"/>
    <xf numFmtId="0" fontId="15" fillId="0" borderId="8" xfId="0" applyFont="1" applyBorder="1"/>
    <xf numFmtId="2" fontId="1" fillId="0" borderId="0" xfId="0" applyNumberFormat="1" applyFont="1"/>
    <xf numFmtId="170" fontId="1" fillId="0" borderId="0" xfId="1" applyNumberFormat="1" applyFont="1" applyFill="1"/>
    <xf numFmtId="177" fontId="1" fillId="0" borderId="0" xfId="0" applyNumberFormat="1" applyFont="1"/>
    <xf numFmtId="2" fontId="1" fillId="0" borderId="13" xfId="0" applyNumberFormat="1" applyFont="1" applyBorder="1"/>
    <xf numFmtId="0" fontId="1" fillId="0" borderId="11" xfId="0" applyFont="1" applyBorder="1"/>
    <xf numFmtId="0" fontId="15" fillId="0" borderId="0" xfId="0" applyFont="1"/>
    <xf numFmtId="0" fontId="4" fillId="0" borderId="14" xfId="0" applyFont="1" applyBorder="1" applyAlignment="1">
      <alignment horizontal="left"/>
    </xf>
    <xf numFmtId="0" fontId="1" fillId="0" borderId="14" xfId="0" applyFont="1" applyBorder="1"/>
    <xf numFmtId="44" fontId="10" fillId="0" borderId="0" xfId="0" applyNumberFormat="1" applyFont="1"/>
    <xf numFmtId="44" fontId="15" fillId="0" borderId="0" xfId="0" applyNumberFormat="1" applyFont="1"/>
    <xf numFmtId="177" fontId="1" fillId="0" borderId="0" xfId="0" applyNumberFormat="1" applyFont="1" applyAlignment="1">
      <alignment horizontal="left"/>
    </xf>
    <xf numFmtId="0" fontId="10" fillId="0" borderId="0" xfId="0" applyFont="1"/>
    <xf numFmtId="178" fontId="1" fillId="0" borderId="0" xfId="0" applyNumberFormat="1" applyFont="1"/>
    <xf numFmtId="179" fontId="1" fillId="0" borderId="0" xfId="0" applyNumberFormat="1" applyFont="1"/>
    <xf numFmtId="171" fontId="1" fillId="0" borderId="0" xfId="0" quotePrefix="1" applyNumberFormat="1" applyFont="1" applyAlignment="1">
      <alignment horizontal="right"/>
    </xf>
    <xf numFmtId="2" fontId="1" fillId="0" borderId="0" xfId="0" quotePrefix="1" applyNumberFormat="1" applyFont="1" applyAlignment="1">
      <alignment horizontal="right"/>
    </xf>
    <xf numFmtId="180" fontId="1" fillId="0" borderId="0" xfId="1" quotePrefix="1" applyNumberFormat="1" applyFont="1" applyFill="1"/>
    <xf numFmtId="175" fontId="1" fillId="0" borderId="0" xfId="1" quotePrefix="1" applyNumberFormat="1" applyFont="1" applyFill="1"/>
    <xf numFmtId="166" fontId="10" fillId="0" borderId="0" xfId="2" applyNumberFormat="1" applyFont="1" applyFill="1"/>
    <xf numFmtId="166" fontId="10" fillId="0" borderId="0" xfId="2" quotePrefix="1" applyNumberFormat="1" applyFont="1" applyFill="1"/>
    <xf numFmtId="166" fontId="10" fillId="0" borderId="0" xfId="0" applyNumberFormat="1" applyFont="1"/>
    <xf numFmtId="166" fontId="4" fillId="0" borderId="0" xfId="0" applyNumberFormat="1" applyFont="1"/>
    <xf numFmtId="178" fontId="8" fillId="0" borderId="0" xfId="3" applyNumberFormat="1" applyFont="1" applyFill="1"/>
    <xf numFmtId="166" fontId="10" fillId="0" borderId="0" xfId="0" quotePrefix="1" applyNumberFormat="1" applyFont="1" applyAlignment="1">
      <alignment horizontal="left"/>
    </xf>
    <xf numFmtId="0" fontId="15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0" fontId="15" fillId="0" borderId="0" xfId="0" quotePrefix="1" applyFont="1" applyAlignment="1">
      <alignment horizontal="left"/>
    </xf>
    <xf numFmtId="171" fontId="15" fillId="0" borderId="0" xfId="0" applyNumberFormat="1" applyFont="1"/>
    <xf numFmtId="171" fontId="15" fillId="2" borderId="0" xfId="0" applyNumberFormat="1" applyFont="1" applyFill="1"/>
    <xf numFmtId="171" fontId="18" fillId="0" borderId="0" xfId="0" applyNumberFormat="1" applyFont="1"/>
    <xf numFmtId="9" fontId="15" fillId="0" borderId="0" xfId="3" applyFont="1" applyFill="1" applyAlignment="1">
      <alignment horizontal="right"/>
    </xf>
    <xf numFmtId="176" fontId="15" fillId="0" borderId="0" xfId="0" applyNumberFormat="1" applyFont="1"/>
    <xf numFmtId="0" fontId="15" fillId="0" borderId="0" xfId="0" applyFont="1" applyAlignment="1">
      <alignment horizontal="right"/>
    </xf>
    <xf numFmtId="3" fontId="15" fillId="0" borderId="0" xfId="0" applyNumberFormat="1" applyFont="1"/>
    <xf numFmtId="3" fontId="17" fillId="0" borderId="0" xfId="0" applyNumberFormat="1" applyFont="1"/>
    <xf numFmtId="0" fontId="17" fillId="0" borderId="0" xfId="0" quotePrefix="1" applyFont="1" applyAlignment="1">
      <alignment horizontal="left"/>
    </xf>
    <xf numFmtId="0" fontId="17" fillId="0" borderId="0" xfId="0" quotePrefix="1" applyFont="1" applyAlignment="1">
      <alignment horizontal="right"/>
    </xf>
    <xf numFmtId="0" fontId="18" fillId="0" borderId="0" xfId="0" applyFont="1"/>
    <xf numFmtId="171" fontId="18" fillId="0" borderId="15" xfId="0" applyNumberFormat="1" applyFont="1" applyBorder="1"/>
    <xf numFmtId="0" fontId="15" fillId="0" borderId="0" xfId="0" applyFont="1" applyAlignment="1">
      <alignment horizontal="left"/>
    </xf>
    <xf numFmtId="17" fontId="0" fillId="0" borderId="0" xfId="0" applyNumberFormat="1"/>
    <xf numFmtId="17" fontId="0" fillId="0" borderId="0" xfId="0" applyNumberFormat="1" applyAlignment="1">
      <alignment horizontal="right"/>
    </xf>
    <xf numFmtId="0" fontId="0" fillId="0" borderId="4" xfId="0" applyBorder="1"/>
    <xf numFmtId="44" fontId="0" fillId="0" borderId="0" xfId="0" applyNumberFormat="1"/>
    <xf numFmtId="0" fontId="0" fillId="0" borderId="4" xfId="0" applyBorder="1" applyAlignment="1">
      <alignment horizontal="right"/>
    </xf>
    <xf numFmtId="174" fontId="0" fillId="0" borderId="0" xfId="0" applyNumberFormat="1"/>
    <xf numFmtId="0" fontId="0" fillId="0" borderId="0" xfId="0" quotePrefix="1"/>
    <xf numFmtId="0" fontId="0" fillId="0" borderId="0" xfId="0" applyAlignment="1">
      <alignment horizontal="left"/>
    </xf>
    <xf numFmtId="44" fontId="1" fillId="0" borderId="0" xfId="0" quotePrefix="1" applyNumberFormat="1" applyFont="1"/>
    <xf numFmtId="0" fontId="0" fillId="0" borderId="0" xfId="0" quotePrefix="1" applyAlignment="1">
      <alignment horizontal="left"/>
    </xf>
    <xf numFmtId="177" fontId="0" fillId="0" borderId="0" xfId="0" applyNumberFormat="1"/>
    <xf numFmtId="2" fontId="0" fillId="0" borderId="0" xfId="0" applyNumberFormat="1"/>
    <xf numFmtId="177" fontId="0" fillId="0" borderId="0" xfId="0" applyNumberFormat="1" applyAlignment="1">
      <alignment horizontal="left"/>
    </xf>
    <xf numFmtId="0" fontId="0" fillId="0" borderId="0" xfId="0" quotePrefix="1" applyAlignment="1">
      <alignment horizontal="right"/>
    </xf>
    <xf numFmtId="171" fontId="0" fillId="0" borderId="0" xfId="0" quotePrefix="1" applyNumberFormat="1" applyAlignment="1">
      <alignment horizontal="right"/>
    </xf>
    <xf numFmtId="171" fontId="0" fillId="0" borderId="0" xfId="0" applyNumberFormat="1"/>
    <xf numFmtId="0" fontId="0" fillId="0" borderId="0" xfId="0" applyAlignment="1">
      <alignment horizontal="right"/>
    </xf>
    <xf numFmtId="39" fontId="0" fillId="0" borderId="0" xfId="0" applyNumberFormat="1"/>
    <xf numFmtId="0" fontId="0" fillId="0" borderId="0" xfId="0" applyAlignment="1">
      <alignment horizontal="center"/>
    </xf>
    <xf numFmtId="166" fontId="0" fillId="0" borderId="0" xfId="2" applyNumberFormat="1" applyFont="1" applyFill="1"/>
    <xf numFmtId="166" fontId="0" fillId="0" borderId="0" xfId="2" quotePrefix="1" applyNumberFormat="1" applyFont="1" applyFill="1"/>
    <xf numFmtId="166" fontId="0" fillId="0" borderId="0" xfId="0" applyNumberFormat="1"/>
    <xf numFmtId="43" fontId="19" fillId="0" borderId="0" xfId="1" applyFont="1" applyFill="1" applyAlignment="1">
      <alignment horizontal="right"/>
    </xf>
    <xf numFmtId="43" fontId="20" fillId="0" borderId="0" xfId="1" quotePrefix="1" applyFont="1" applyFill="1" applyBorder="1"/>
    <xf numFmtId="166" fontId="0" fillId="0" borderId="0" xfId="0" quotePrefix="1" applyNumberFormat="1" applyAlignment="1">
      <alignment horizontal="left"/>
    </xf>
    <xf numFmtId="166" fontId="19" fillId="0" borderId="0" xfId="0" applyNumberFormat="1" applyFont="1"/>
    <xf numFmtId="43" fontId="20" fillId="0" borderId="0" xfId="1" quotePrefix="1" applyFont="1" applyFill="1"/>
    <xf numFmtId="179" fontId="0" fillId="0" borderId="0" xfId="0" quotePrefix="1" applyNumberFormat="1" applyAlignment="1">
      <alignment horizontal="right"/>
    </xf>
    <xf numFmtId="179" fontId="0" fillId="0" borderId="0" xfId="0" applyNumberFormat="1"/>
    <xf numFmtId="164" fontId="0" fillId="0" borderId="0" xfId="3" quotePrefix="1" applyNumberFormat="1" applyFont="1" applyFill="1" applyAlignment="1">
      <alignment horizontal="right"/>
    </xf>
    <xf numFmtId="179" fontId="1" fillId="0" borderId="0" xfId="0" applyNumberFormat="1" applyFont="1" applyAlignment="1">
      <alignment horizontal="right"/>
    </xf>
    <xf numFmtId="39" fontId="0" fillId="0" borderId="0" xfId="0" quotePrefix="1" applyNumberFormat="1" applyAlignment="1">
      <alignment horizontal="right"/>
    </xf>
    <xf numFmtId="2" fontId="0" fillId="0" borderId="0" xfId="0" quotePrefix="1" applyNumberFormat="1" applyAlignment="1">
      <alignment horizontal="right"/>
    </xf>
    <xf numFmtId="166" fontId="0" fillId="0" borderId="6" xfId="0" applyNumberForma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3" fontId="0" fillId="0" borderId="9" xfId="0" applyNumberFormat="1" applyBorder="1"/>
    <xf numFmtId="0" fontId="0" fillId="0" borderId="10" xfId="0" applyBorder="1"/>
    <xf numFmtId="3" fontId="0" fillId="0" borderId="11" xfId="0" applyNumberFormat="1" applyBorder="1"/>
    <xf numFmtId="0" fontId="20" fillId="0" borderId="0" xfId="0" applyFont="1"/>
    <xf numFmtId="167" fontId="21" fillId="0" borderId="0" xfId="0" applyNumberFormat="1" applyFont="1"/>
    <xf numFmtId="177" fontId="21" fillId="0" borderId="0" xfId="0" applyNumberFormat="1" applyFont="1"/>
    <xf numFmtId="0" fontId="4" fillId="0" borderId="16" xfId="0" applyFont="1" applyBorder="1" applyAlignment="1">
      <alignment horizontal="centerContinuous" vertical="center"/>
    </xf>
    <xf numFmtId="0" fontId="4" fillId="0" borderId="17" xfId="0" applyFont="1" applyBorder="1" applyAlignment="1">
      <alignment horizontal="centerContinuous" vertical="center"/>
    </xf>
    <xf numFmtId="0" fontId="4" fillId="0" borderId="18" xfId="0" applyFont="1" applyBorder="1" applyAlignment="1">
      <alignment horizontal="centerContinuous" vertical="center"/>
    </xf>
    <xf numFmtId="0" fontId="9" fillId="0" borderId="6" xfId="0" applyFont="1" applyBorder="1" applyAlignment="1">
      <alignment horizontal="left"/>
    </xf>
    <xf numFmtId="0" fontId="4" fillId="0" borderId="12" xfId="0" applyFont="1" applyBorder="1" applyAlignment="1">
      <alignment horizontal="center"/>
    </xf>
    <xf numFmtId="39" fontId="0" fillId="0" borderId="12" xfId="0" applyNumberFormat="1" applyBorder="1"/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39" fontId="9" fillId="0" borderId="0" xfId="0" applyNumberFormat="1" applyFont="1" applyAlignment="1">
      <alignment horizontal="center"/>
    </xf>
    <xf numFmtId="0" fontId="9" fillId="0" borderId="9" xfId="0" applyFont="1" applyBorder="1" applyAlignment="1">
      <alignment horizontal="center"/>
    </xf>
    <xf numFmtId="170" fontId="1" fillId="0" borderId="0" xfId="1" applyNumberFormat="1" applyFont="1" applyFill="1" applyBorder="1" applyAlignment="1">
      <alignment horizontal="right"/>
    </xf>
    <xf numFmtId="170" fontId="1" fillId="0" borderId="9" xfId="1" applyNumberFormat="1" applyFont="1" applyFill="1" applyBorder="1" applyAlignment="1">
      <alignment horizontal="right"/>
    </xf>
    <xf numFmtId="0" fontId="4" fillId="0" borderId="19" xfId="0" applyFont="1" applyBorder="1" applyAlignment="1">
      <alignment horizontal="center"/>
    </xf>
    <xf numFmtId="170" fontId="4" fillId="0" borderId="19" xfId="1" applyNumberFormat="1" applyFont="1" applyFill="1" applyBorder="1" applyAlignment="1">
      <alignment horizontal="right"/>
    </xf>
    <xf numFmtId="43" fontId="1" fillId="0" borderId="8" xfId="1" quotePrefix="1" applyFont="1" applyFill="1" applyBorder="1"/>
    <xf numFmtId="0" fontId="0" fillId="0" borderId="13" xfId="0" applyBorder="1"/>
    <xf numFmtId="39" fontId="0" fillId="0" borderId="13" xfId="0" applyNumberFormat="1" applyBorder="1"/>
    <xf numFmtId="0" fontId="0" fillId="0" borderId="11" xfId="0" applyBorder="1"/>
    <xf numFmtId="0" fontId="22" fillId="0" borderId="0" xfId="0" applyFont="1"/>
    <xf numFmtId="0" fontId="2" fillId="0" borderId="9" xfId="0" applyFont="1" applyBorder="1"/>
    <xf numFmtId="0" fontId="22" fillId="0" borderId="15" xfId="0" applyFont="1" applyBorder="1" applyAlignment="1">
      <alignment horizontal="center"/>
    </xf>
    <xf numFmtId="0" fontId="0" fillId="0" borderId="13" xfId="0" applyBorder="1" applyAlignment="1">
      <alignment wrapText="1"/>
    </xf>
    <xf numFmtId="0" fontId="4" fillId="0" borderId="11" xfId="0" applyFont="1" applyBorder="1" applyAlignment="1">
      <alignment wrapText="1"/>
    </xf>
    <xf numFmtId="0" fontId="0" fillId="0" borderId="15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4" fillId="0" borderId="9" xfId="0" applyFont="1" applyBorder="1"/>
    <xf numFmtId="2" fontId="0" fillId="0" borderId="20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21" xfId="0" applyBorder="1" applyAlignment="1">
      <alignment horizontal="center"/>
    </xf>
    <xf numFmtId="0" fontId="0" fillId="0" borderId="21" xfId="0" applyBorder="1"/>
    <xf numFmtId="3" fontId="0" fillId="0" borderId="20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20" xfId="0" applyNumberFormat="1" applyBorder="1" applyAlignment="1">
      <alignment horizontal="center"/>
    </xf>
    <xf numFmtId="38" fontId="0" fillId="0" borderId="0" xfId="0" applyNumberFormat="1" applyAlignment="1">
      <alignment horizontal="center"/>
    </xf>
    <xf numFmtId="37" fontId="0" fillId="0" borderId="20" xfId="0" applyNumberFormat="1" applyBorder="1" applyAlignment="1">
      <alignment horizontal="center"/>
    </xf>
    <xf numFmtId="38" fontId="0" fillId="0" borderId="20" xfId="0" applyNumberFormat="1" applyBorder="1" applyAlignment="1">
      <alignment horizontal="center"/>
    </xf>
    <xf numFmtId="0" fontId="4" fillId="0" borderId="13" xfId="0" applyFont="1" applyBorder="1"/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2" xfId="0" applyBorder="1"/>
    <xf numFmtId="0" fontId="4" fillId="0" borderId="17" xfId="0" applyFont="1" applyBorder="1" applyAlignment="1">
      <alignment horizontal="center"/>
    </xf>
    <xf numFmtId="0" fontId="0" fillId="0" borderId="18" xfId="0" applyBorder="1"/>
    <xf numFmtId="37" fontId="0" fillId="0" borderId="15" xfId="0" applyNumberFormat="1" applyBorder="1" applyAlignment="1">
      <alignment horizontal="center"/>
    </xf>
    <xf numFmtId="37" fontId="0" fillId="0" borderId="17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37" fontId="0" fillId="0" borderId="18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2" fontId="0" fillId="0" borderId="17" xfId="0" applyNumberFormat="1" applyBorder="1" applyAlignment="1">
      <alignment horizontal="center"/>
    </xf>
    <xf numFmtId="0" fontId="9" fillId="0" borderId="0" xfId="0" quotePrefix="1" applyFont="1" applyAlignment="1">
      <alignment horizontal="left"/>
    </xf>
    <xf numFmtId="37" fontId="0" fillId="0" borderId="0" xfId="0" applyNumberFormat="1"/>
    <xf numFmtId="181" fontId="0" fillId="0" borderId="0" xfId="0" applyNumberFormat="1"/>
    <xf numFmtId="37" fontId="10" fillId="0" borderId="0" xfId="0" applyNumberFormat="1" applyFont="1"/>
    <xf numFmtId="181" fontId="10" fillId="0" borderId="0" xfId="0" applyNumberFormat="1" applyFont="1"/>
    <xf numFmtId="170" fontId="1" fillId="0" borderId="0" xfId="1" applyNumberFormat="1"/>
    <xf numFmtId="170" fontId="0" fillId="0" borderId="0" xfId="0" applyNumberFormat="1"/>
    <xf numFmtId="182" fontId="0" fillId="0" borderId="0" xfId="0" applyNumberFormat="1"/>
    <xf numFmtId="10" fontId="23" fillId="3" borderId="15" xfId="3" applyNumberFormat="1" applyFont="1" applyFill="1" applyBorder="1"/>
    <xf numFmtId="176" fontId="0" fillId="0" borderId="0" xfId="0" applyNumberFormat="1"/>
    <xf numFmtId="0" fontId="10" fillId="3" borderId="6" xfId="0" applyFont="1" applyFill="1" applyBorder="1"/>
    <xf numFmtId="0" fontId="0" fillId="3" borderId="12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0" xfId="0" applyFill="1"/>
    <xf numFmtId="0" fontId="0" fillId="3" borderId="9" xfId="0" applyFill="1" applyBorder="1"/>
    <xf numFmtId="0" fontId="10" fillId="3" borderId="0" xfId="0" applyFont="1" applyFill="1" applyAlignment="1">
      <alignment horizontal="right"/>
    </xf>
    <xf numFmtId="0" fontId="10" fillId="3" borderId="9" xfId="0" applyFont="1" applyFill="1" applyBorder="1" applyAlignment="1">
      <alignment horizontal="right"/>
    </xf>
    <xf numFmtId="170" fontId="0" fillId="3" borderId="0" xfId="0" applyNumberFormat="1" applyFill="1"/>
    <xf numFmtId="170" fontId="0" fillId="3" borderId="9" xfId="0" applyNumberFormat="1" applyFill="1" applyBorder="1"/>
    <xf numFmtId="170" fontId="10" fillId="3" borderId="0" xfId="0" applyNumberFormat="1" applyFont="1" applyFill="1"/>
    <xf numFmtId="170" fontId="10" fillId="3" borderId="9" xfId="0" applyNumberFormat="1" applyFont="1" applyFill="1" applyBorder="1"/>
    <xf numFmtId="0" fontId="0" fillId="3" borderId="10" xfId="0" applyFill="1" applyBorder="1"/>
    <xf numFmtId="0" fontId="0" fillId="3" borderId="13" xfId="0" applyFill="1" applyBorder="1"/>
    <xf numFmtId="170" fontId="0" fillId="3" borderId="13" xfId="0" applyNumberFormat="1" applyFill="1" applyBorder="1"/>
    <xf numFmtId="170" fontId="0" fillId="3" borderId="11" xfId="0" applyNumberFormat="1" applyFill="1" applyBorder="1"/>
    <xf numFmtId="3" fontId="21" fillId="0" borderId="0" xfId="0" applyNumberFormat="1" applyFont="1"/>
    <xf numFmtId="0" fontId="9" fillId="0" borderId="0" xfId="0" applyFont="1" applyAlignment="1">
      <alignment horizontal="left"/>
    </xf>
    <xf numFmtId="0" fontId="10" fillId="0" borderId="0" xfId="0" quotePrefix="1" applyFont="1" applyAlignment="1">
      <alignment horizontal="right"/>
    </xf>
    <xf numFmtId="164" fontId="0" fillId="0" borderId="0" xfId="3" applyNumberFormat="1" applyFont="1"/>
    <xf numFmtId="3" fontId="0" fillId="0" borderId="0" xfId="0" applyNumberFormat="1"/>
    <xf numFmtId="10" fontId="1" fillId="0" borderId="0" xfId="3" applyNumberFormat="1" applyFont="1"/>
    <xf numFmtId="10" fontId="0" fillId="0" borderId="0" xfId="3" applyNumberFormat="1" applyFont="1"/>
    <xf numFmtId="3" fontId="24" fillId="0" borderId="0" xfId="0" applyNumberFormat="1" applyFont="1"/>
    <xf numFmtId="3" fontId="23" fillId="0" borderId="0" xfId="0" applyNumberFormat="1" applyFont="1"/>
    <xf numFmtId="17" fontId="10" fillId="0" borderId="0" xfId="0" applyNumberFormat="1" applyFont="1" applyAlignment="1">
      <alignment horizontal="right"/>
    </xf>
    <xf numFmtId="37" fontId="21" fillId="0" borderId="0" xfId="0" applyNumberFormat="1" applyFont="1"/>
    <xf numFmtId="37" fontId="25" fillId="0" borderId="0" xfId="0" applyNumberFormat="1" applyFont="1"/>
    <xf numFmtId="10" fontId="10" fillId="0" borderId="0" xfId="3" applyNumberFormat="1" applyFont="1"/>
    <xf numFmtId="10" fontId="0" fillId="0" borderId="0" xfId="0" applyNumberFormat="1"/>
    <xf numFmtId="170" fontId="0" fillId="0" borderId="0" xfId="1" applyNumberFormat="1" applyFont="1"/>
    <xf numFmtId="0" fontId="1" fillId="0" borderId="0" xfId="4"/>
    <xf numFmtId="0" fontId="2" fillId="0" borderId="0" xfId="4" applyFont="1" applyAlignment="1">
      <alignment horizontal="center"/>
    </xf>
    <xf numFmtId="0" fontId="1" fillId="0" borderId="0" xfId="4" applyAlignment="1">
      <alignment horizontal="center" vertical="center" wrapText="1"/>
    </xf>
    <xf numFmtId="0" fontId="1" fillId="0" borderId="0" xfId="4" applyAlignment="1">
      <alignment horizontal="center" wrapText="1"/>
    </xf>
    <xf numFmtId="0" fontId="7" fillId="0" borderId="0" xfId="4" applyFont="1" applyAlignment="1">
      <alignment horizontal="center" wrapText="1"/>
    </xf>
    <xf numFmtId="0" fontId="4" fillId="0" borderId="0" xfId="4" applyFont="1"/>
    <xf numFmtId="177" fontId="1" fillId="0" borderId="0" xfId="4" applyNumberFormat="1"/>
    <xf numFmtId="0" fontId="1" fillId="0" borderId="0" xfId="4" quotePrefix="1"/>
    <xf numFmtId="177" fontId="1" fillId="0" borderId="14" xfId="4" applyNumberFormat="1" applyBorder="1" applyAlignment="1">
      <alignment horizontal="right"/>
    </xf>
    <xf numFmtId="177" fontId="1" fillId="0" borderId="0" xfId="4" applyNumberFormat="1" applyAlignment="1">
      <alignment horizontal="right"/>
    </xf>
    <xf numFmtId="168" fontId="1" fillId="0" borderId="0" xfId="4" applyNumberFormat="1"/>
    <xf numFmtId="3" fontId="1" fillId="0" borderId="14" xfId="4" applyNumberFormat="1" applyBorder="1"/>
    <xf numFmtId="183" fontId="1" fillId="0" borderId="0" xfId="4" applyNumberFormat="1" applyAlignment="1">
      <alignment horizontal="right"/>
    </xf>
    <xf numFmtId="183" fontId="1" fillId="0" borderId="0" xfId="4" applyNumberFormat="1"/>
    <xf numFmtId="170" fontId="1" fillId="0" borderId="14" xfId="1" applyNumberFormat="1" applyFont="1" applyFill="1" applyBorder="1"/>
    <xf numFmtId="3" fontId="1" fillId="0" borderId="0" xfId="4" applyNumberFormat="1"/>
    <xf numFmtId="177" fontId="4" fillId="0" borderId="23" xfId="4" applyNumberFormat="1" applyFont="1" applyBorder="1"/>
    <xf numFmtId="0" fontId="4" fillId="0" borderId="0" xfId="4" quotePrefix="1" applyFont="1"/>
    <xf numFmtId="0" fontId="9" fillId="0" borderId="0" xfId="4" applyFont="1"/>
    <xf numFmtId="0" fontId="15" fillId="0" borderId="0" xfId="4" applyFont="1"/>
    <xf numFmtId="0" fontId="15" fillId="0" borderId="0" xfId="4" applyFont="1" applyAlignment="1">
      <alignment horizontal="center"/>
    </xf>
    <xf numFmtId="0" fontId="17" fillId="0" borderId="0" xfId="4" applyFont="1"/>
    <xf numFmtId="0" fontId="17" fillId="0" borderId="0" xfId="4" applyFont="1" applyAlignment="1">
      <alignment horizontal="center"/>
    </xf>
    <xf numFmtId="0" fontId="17" fillId="0" borderId="0" xfId="4" applyFont="1" applyAlignment="1">
      <alignment horizontal="right"/>
    </xf>
    <xf numFmtId="0" fontId="15" fillId="0" borderId="0" xfId="4" quotePrefix="1" applyFont="1" applyAlignment="1">
      <alignment horizontal="left"/>
    </xf>
    <xf numFmtId="171" fontId="15" fillId="0" borderId="0" xfId="4" applyNumberFormat="1" applyFont="1"/>
    <xf numFmtId="171" fontId="18" fillId="0" borderId="0" xfId="4" applyNumberFormat="1" applyFont="1"/>
    <xf numFmtId="176" fontId="15" fillId="0" borderId="0" xfId="4" applyNumberFormat="1" applyFont="1"/>
    <xf numFmtId="0" fontId="15" fillId="0" borderId="0" xfId="4" applyFont="1" applyAlignment="1">
      <alignment horizontal="right"/>
    </xf>
    <xf numFmtId="3" fontId="15" fillId="0" borderId="0" xfId="4" applyNumberFormat="1" applyFont="1"/>
    <xf numFmtId="3" fontId="15" fillId="0" borderId="14" xfId="4" applyNumberFormat="1" applyFont="1" applyBorder="1"/>
    <xf numFmtId="3" fontId="17" fillId="0" borderId="0" xfId="4" applyNumberFormat="1" applyFont="1"/>
    <xf numFmtId="0" fontId="17" fillId="0" borderId="0" xfId="4" quotePrefix="1" applyFont="1" applyAlignment="1">
      <alignment horizontal="left"/>
    </xf>
    <xf numFmtId="0" fontId="17" fillId="0" borderId="0" xfId="4" quotePrefix="1" applyFont="1" applyAlignment="1">
      <alignment horizontal="right"/>
    </xf>
    <xf numFmtId="0" fontId="18" fillId="0" borderId="0" xfId="4" applyFont="1"/>
    <xf numFmtId="0" fontId="15" fillId="0" borderId="0" xfId="4" applyFont="1" applyAlignment="1">
      <alignment horizontal="left"/>
    </xf>
    <xf numFmtId="0" fontId="23" fillId="0" borderId="0" xfId="4" applyFont="1"/>
    <xf numFmtId="171" fontId="15" fillId="4" borderId="0" xfId="4" applyNumberFormat="1" applyFont="1" applyFill="1"/>
    <xf numFmtId="0" fontId="1" fillId="0" borderId="0" xfId="5" quotePrefix="1"/>
    <xf numFmtId="176" fontId="1" fillId="0" borderId="0" xfId="0" applyNumberFormat="1" applyFont="1"/>
    <xf numFmtId="4" fontId="1" fillId="0" borderId="5" xfId="0" applyNumberFormat="1" applyFont="1" applyBorder="1"/>
    <xf numFmtId="9" fontId="1" fillId="0" borderId="0" xfId="1" applyNumberFormat="1" applyFont="1" applyFill="1"/>
    <xf numFmtId="0" fontId="15" fillId="0" borderId="10" xfId="0" applyFont="1" applyBorder="1"/>
    <xf numFmtId="44" fontId="8" fillId="0" borderId="0" xfId="0" quotePrefix="1" applyNumberFormat="1" applyFont="1"/>
    <xf numFmtId="171" fontId="15" fillId="5" borderId="0" xfId="4" applyNumberFormat="1" applyFont="1" applyFill="1"/>
    <xf numFmtId="0" fontId="11" fillId="0" borderId="0" xfId="0" applyFont="1" applyAlignment="1">
      <alignment horizontal="center"/>
    </xf>
    <xf numFmtId="0" fontId="10" fillId="0" borderId="0" xfId="0" quotePrefix="1" applyFont="1" applyAlignment="1">
      <alignment horizontal="center"/>
    </xf>
    <xf numFmtId="0" fontId="22" fillId="0" borderId="16" xfId="0" applyFont="1" applyBorder="1" applyAlignment="1">
      <alignment horizontal="center"/>
    </xf>
    <xf numFmtId="0" fontId="22" fillId="0" borderId="17" xfId="0" applyFont="1" applyBorder="1" applyAlignment="1">
      <alignment horizontal="center"/>
    </xf>
    <xf numFmtId="0" fontId="22" fillId="0" borderId="18" xfId="0" applyFont="1" applyBorder="1" applyAlignment="1">
      <alignment horizontal="center"/>
    </xf>
    <xf numFmtId="0" fontId="26" fillId="0" borderId="0" xfId="5" applyFont="1" applyAlignment="1">
      <alignment horizontal="left" vertical="center" wrapText="1"/>
    </xf>
  </cellXfs>
  <cellStyles count="6">
    <cellStyle name="Comma" xfId="1" builtinId="3"/>
    <cellStyle name="Currency" xfId="2" builtinId="4"/>
    <cellStyle name="Normal" xfId="0" builtinId="0"/>
    <cellStyle name="Normal 2" xfId="4" xr:uid="{57C76F36-1A0B-4305-B379-783D295588CF}"/>
    <cellStyle name="Normal 2 4 2" xfId="5" xr:uid="{B8C57001-A7AF-4088-A194-C01BE1821104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F116C-EEB8-4728-B723-543898721424}">
  <sheetPr codeName="Sheet3"/>
  <dimension ref="A1:AD610"/>
  <sheetViews>
    <sheetView tabSelected="1" view="pageBreakPreview" zoomScaleNormal="80" zoomScaleSheetLayoutView="100" workbookViewId="0"/>
  </sheetViews>
  <sheetFormatPr defaultColWidth="9.1328125" defaultRowHeight="12.75" x14ac:dyDescent="0.35"/>
  <cols>
    <col min="1" max="1" width="10.73046875" style="1" customWidth="1"/>
    <col min="2" max="2" width="27.86328125" style="3" customWidth="1"/>
    <col min="3" max="3" width="16.3984375" style="3" customWidth="1"/>
    <col min="4" max="4" width="16.1328125" style="3" customWidth="1"/>
    <col min="5" max="5" width="12.73046875" style="3" customWidth="1"/>
    <col min="6" max="7" width="13.3984375" style="3" customWidth="1"/>
    <col min="8" max="8" width="12.73046875" style="3" customWidth="1"/>
    <col min="9" max="9" width="14.86328125" style="3" customWidth="1"/>
    <col min="10" max="10" width="12.73046875" style="3" customWidth="1"/>
    <col min="11" max="11" width="17.265625" style="3" customWidth="1"/>
    <col min="12" max="12" width="15.265625" style="3" customWidth="1"/>
    <col min="13" max="13" width="13.3984375" style="3" customWidth="1"/>
    <col min="14" max="14" width="12" style="3" customWidth="1"/>
    <col min="15" max="15" width="11.1328125" style="3" customWidth="1"/>
    <col min="16" max="16" width="12.265625" style="3" customWidth="1"/>
    <col min="17" max="17" width="13" style="3" customWidth="1"/>
    <col min="18" max="18" width="10" style="3" customWidth="1"/>
    <col min="19" max="19" width="10.73046875" style="3" customWidth="1"/>
    <col min="20" max="21" width="11.73046875" style="3" customWidth="1"/>
    <col min="22" max="22" width="11.73046875" style="3" hidden="1" customWidth="1"/>
    <col min="23" max="23" width="14.86328125" style="3" hidden="1" customWidth="1"/>
    <col min="24" max="24" width="11.1328125" style="3" hidden="1" customWidth="1"/>
    <col min="25" max="25" width="0" style="3" hidden="1" customWidth="1"/>
    <col min="26" max="26" width="13.265625" style="3" hidden="1" customWidth="1"/>
    <col min="27" max="27" width="15.265625" style="3" hidden="1" customWidth="1"/>
    <col min="28" max="28" width="13.59765625" style="3" hidden="1" customWidth="1"/>
    <col min="29" max="29" width="0" style="3" hidden="1" customWidth="1"/>
    <col min="30" max="30" width="8.73046875" style="3" hidden="1" customWidth="1"/>
    <col min="31" max="32" width="0" style="3" hidden="1" customWidth="1"/>
    <col min="33" max="16384" width="9.1328125" style="3"/>
  </cols>
  <sheetData>
    <row r="1" spans="1:26" ht="15" x14ac:dyDescent="0.4">
      <c r="B1" s="2" t="str">
        <f>"Development of BGS Cost and Bid Factors for Rates Effective June 1, " &amp;M1</f>
        <v>Development of BGS Cost and Bid Factors for Rates Effective June 1, 2027</v>
      </c>
      <c r="G1" s="4"/>
      <c r="M1" s="5">
        <v>2027</v>
      </c>
      <c r="N1" s="3" t="s">
        <v>0</v>
      </c>
    </row>
    <row r="2" spans="1:26" ht="15" x14ac:dyDescent="0.4">
      <c r="A2" s="6"/>
      <c r="I2" s="7"/>
    </row>
    <row r="3" spans="1:26" x14ac:dyDescent="0.35">
      <c r="D3" s="8" t="str">
        <f>"Based on " &amp;M1-1  &amp;" Load Profile Information"</f>
        <v>Based on 2026 Load Profile Information</v>
      </c>
    </row>
    <row r="4" spans="1:26" ht="13.15" x14ac:dyDescent="0.4">
      <c r="A4" s="9" t="s">
        <v>1</v>
      </c>
      <c r="B4" s="10" t="s">
        <v>2</v>
      </c>
      <c r="C4" s="11"/>
      <c r="D4" s="12" t="s">
        <v>3</v>
      </c>
      <c r="K4" s="10"/>
      <c r="L4" s="13" t="str">
        <f>"'% usage during Off-Peak period (from "&amp;M1-1&amp;" profiles)"</f>
        <v>'% usage during Off-Peak period (from 2026 profiles)</v>
      </c>
    </row>
    <row r="5" spans="1:26" ht="25.5" x14ac:dyDescent="0.35">
      <c r="A5" s="14"/>
      <c r="C5" s="15" t="s">
        <v>4</v>
      </c>
      <c r="D5" s="15" t="s">
        <v>4</v>
      </c>
      <c r="E5" s="15" t="s">
        <v>4</v>
      </c>
      <c r="F5" s="12" t="s">
        <v>5</v>
      </c>
      <c r="G5" s="16"/>
      <c r="H5" s="15" t="s">
        <v>4</v>
      </c>
      <c r="I5" s="15"/>
      <c r="J5" s="15"/>
      <c r="K5" s="12"/>
      <c r="L5" s="15" t="s">
        <v>4</v>
      </c>
      <c r="M5" s="15" t="s">
        <v>4</v>
      </c>
      <c r="N5" s="15" t="s">
        <v>4</v>
      </c>
      <c r="O5" s="12" t="s">
        <v>6</v>
      </c>
      <c r="P5" s="16"/>
      <c r="Q5" s="15" t="s">
        <v>4</v>
      </c>
      <c r="R5" s="15"/>
    </row>
    <row r="6" spans="1:26" ht="13.15" x14ac:dyDescent="0.4">
      <c r="A6" s="14"/>
      <c r="B6" s="17"/>
      <c r="C6" s="18" t="s">
        <v>7</v>
      </c>
      <c r="D6" s="18" t="s">
        <v>8</v>
      </c>
      <c r="E6" s="18" t="s">
        <v>9</v>
      </c>
      <c r="F6" s="18" t="s">
        <v>10</v>
      </c>
      <c r="G6" s="18" t="s">
        <v>11</v>
      </c>
      <c r="H6" s="18" t="s">
        <v>12</v>
      </c>
      <c r="I6" s="19"/>
      <c r="J6" s="19"/>
      <c r="K6" s="20"/>
      <c r="L6" s="19" t="str">
        <f t="shared" ref="L6:Q6" si="0">+C6</f>
        <v>SC1</v>
      </c>
      <c r="M6" s="19" t="str">
        <f t="shared" si="0"/>
        <v>SC3</v>
      </c>
      <c r="N6" s="19" t="str">
        <f t="shared" si="0"/>
        <v>SC2 ND</v>
      </c>
      <c r="O6" s="19" t="str">
        <f t="shared" si="0"/>
        <v>SC4</v>
      </c>
      <c r="P6" s="19" t="str">
        <f t="shared" si="0"/>
        <v>SC6</v>
      </c>
      <c r="Q6" s="19" t="str">
        <f t="shared" si="0"/>
        <v>SC2 Dem</v>
      </c>
      <c r="R6" s="19"/>
    </row>
    <row r="7" spans="1:26" x14ac:dyDescent="0.35">
      <c r="A7" s="14"/>
    </row>
    <row r="8" spans="1:26" x14ac:dyDescent="0.35">
      <c r="A8" s="14"/>
      <c r="B8" s="21" t="s">
        <v>13</v>
      </c>
      <c r="C8" s="22">
        <v>0.80670996460403499</v>
      </c>
      <c r="D8" s="22">
        <v>0.51716303568447852</v>
      </c>
      <c r="E8" s="22">
        <v>0.46139999999999998</v>
      </c>
      <c r="F8" s="22">
        <v>0.48336239215577426</v>
      </c>
      <c r="G8" s="22">
        <f>F8</f>
        <v>0.48336239215577426</v>
      </c>
      <c r="H8" s="22">
        <v>0.5618377644392889</v>
      </c>
      <c r="I8" s="23"/>
      <c r="J8" s="23"/>
      <c r="K8" s="24"/>
      <c r="L8" s="23">
        <f t="shared" ref="L8:Q19" si="1">1-C8</f>
        <v>0.19329003539596501</v>
      </c>
      <c r="M8" s="23">
        <f t="shared" si="1"/>
        <v>0.48283696431552148</v>
      </c>
      <c r="N8" s="23">
        <f t="shared" si="1"/>
        <v>0.53859999999999997</v>
      </c>
      <c r="O8" s="23">
        <f t="shared" si="1"/>
        <v>0.51663760784422574</v>
      </c>
      <c r="P8" s="23">
        <f t="shared" si="1"/>
        <v>0.51663760784422574</v>
      </c>
      <c r="Q8" s="23">
        <f t="shared" si="1"/>
        <v>0.4381622355607111</v>
      </c>
      <c r="R8" s="24"/>
      <c r="S8" s="25"/>
      <c r="T8" s="25"/>
      <c r="U8" s="25"/>
      <c r="V8" s="25"/>
      <c r="W8" s="25"/>
      <c r="X8" s="25"/>
      <c r="Y8" s="25"/>
      <c r="Z8" s="25"/>
    </row>
    <row r="9" spans="1:26" x14ac:dyDescent="0.35">
      <c r="A9" s="14"/>
      <c r="B9" s="21" t="s">
        <v>14</v>
      </c>
      <c r="C9" s="22">
        <v>0.81832635766220108</v>
      </c>
      <c r="D9" s="22">
        <v>0.53436930004364958</v>
      </c>
      <c r="E9" s="22">
        <v>0.4632</v>
      </c>
      <c r="F9" s="22">
        <v>0.50006648603200743</v>
      </c>
      <c r="G9" s="22">
        <f t="shared" ref="G9:G19" si="2">F9</f>
        <v>0.50006648603200743</v>
      </c>
      <c r="H9" s="22">
        <v>0.57851002790407557</v>
      </c>
      <c r="I9" s="23"/>
      <c r="J9" s="23"/>
      <c r="K9" s="24"/>
      <c r="L9" s="23">
        <f t="shared" si="1"/>
        <v>0.18167364233779892</v>
      </c>
      <c r="M9" s="23">
        <f t="shared" si="1"/>
        <v>0.46563069995635042</v>
      </c>
      <c r="N9" s="23">
        <f t="shared" si="1"/>
        <v>0.53679999999999994</v>
      </c>
      <c r="O9" s="23">
        <f t="shared" si="1"/>
        <v>0.49993351396799257</v>
      </c>
      <c r="P9" s="23">
        <f t="shared" si="1"/>
        <v>0.49993351396799257</v>
      </c>
      <c r="Q9" s="23">
        <f t="shared" si="1"/>
        <v>0.42148997209592443</v>
      </c>
      <c r="R9" s="24"/>
      <c r="S9" s="25"/>
      <c r="T9" s="25"/>
      <c r="U9" s="25"/>
      <c r="V9" s="25"/>
      <c r="W9" s="25"/>
      <c r="X9" s="25"/>
      <c r="Y9" s="25"/>
      <c r="Z9" s="25"/>
    </row>
    <row r="10" spans="1:26" x14ac:dyDescent="0.35">
      <c r="A10" s="14"/>
      <c r="B10" s="21" t="s">
        <v>15</v>
      </c>
      <c r="C10" s="22">
        <v>0.79809358996507473</v>
      </c>
      <c r="D10" s="22">
        <v>0.53406766968118913</v>
      </c>
      <c r="E10" s="22">
        <v>0.48649999999999999</v>
      </c>
      <c r="F10" s="22">
        <v>0.50924081798844112</v>
      </c>
      <c r="G10" s="22">
        <f t="shared" si="2"/>
        <v>0.50924081798844112</v>
      </c>
      <c r="H10" s="22">
        <v>0.57503195491907189</v>
      </c>
      <c r="I10" s="23"/>
      <c r="J10" s="23"/>
      <c r="K10" s="24"/>
      <c r="L10" s="23">
        <f t="shared" si="1"/>
        <v>0.20190641003492527</v>
      </c>
      <c r="M10" s="23">
        <f t="shared" si="1"/>
        <v>0.46593233031881087</v>
      </c>
      <c r="N10" s="23">
        <f t="shared" si="1"/>
        <v>0.51350000000000007</v>
      </c>
      <c r="O10" s="23">
        <f t="shared" si="1"/>
        <v>0.49075918201155888</v>
      </c>
      <c r="P10" s="23">
        <f t="shared" si="1"/>
        <v>0.49075918201155888</v>
      </c>
      <c r="Q10" s="23">
        <f t="shared" si="1"/>
        <v>0.42496804508092811</v>
      </c>
      <c r="R10" s="24"/>
      <c r="S10" s="25"/>
      <c r="T10" s="25"/>
      <c r="U10" s="25"/>
      <c r="V10" s="25"/>
      <c r="W10" s="25"/>
      <c r="X10" s="25"/>
      <c r="Y10" s="25"/>
      <c r="Z10" s="25"/>
    </row>
    <row r="11" spans="1:26" x14ac:dyDescent="0.35">
      <c r="A11" s="14"/>
      <c r="B11" s="21" t="s">
        <v>16</v>
      </c>
      <c r="C11" s="22">
        <v>0.86029433564413349</v>
      </c>
      <c r="D11" s="22">
        <v>0.56290702428764605</v>
      </c>
      <c r="E11" s="22">
        <v>0.45800000000000002</v>
      </c>
      <c r="F11" s="22">
        <v>0.52407612484161281</v>
      </c>
      <c r="G11" s="22">
        <f t="shared" si="2"/>
        <v>0.52407612484161281</v>
      </c>
      <c r="H11" s="22">
        <v>0.60432767448036251</v>
      </c>
      <c r="I11" s="23"/>
      <c r="J11" s="23"/>
      <c r="K11" s="24"/>
      <c r="L11" s="23">
        <f t="shared" si="1"/>
        <v>0.13970566435586651</v>
      </c>
      <c r="M11" s="23">
        <f t="shared" si="1"/>
        <v>0.43709297571235395</v>
      </c>
      <c r="N11" s="23">
        <f t="shared" si="1"/>
        <v>0.54200000000000004</v>
      </c>
      <c r="O11" s="23">
        <f t="shared" si="1"/>
        <v>0.47592387515838719</v>
      </c>
      <c r="P11" s="23">
        <f t="shared" si="1"/>
        <v>0.47592387515838719</v>
      </c>
      <c r="Q11" s="23">
        <f t="shared" si="1"/>
        <v>0.39567232551963749</v>
      </c>
      <c r="R11" s="24"/>
      <c r="S11" s="25"/>
      <c r="T11" s="25"/>
      <c r="U11" s="25"/>
      <c r="V11" s="25"/>
      <c r="W11" s="25"/>
      <c r="X11" s="25"/>
      <c r="Y11" s="25"/>
      <c r="Z11" s="25"/>
    </row>
    <row r="12" spans="1:26" x14ac:dyDescent="0.35">
      <c r="A12" s="14"/>
      <c r="B12" s="21" t="s">
        <v>17</v>
      </c>
      <c r="C12" s="22">
        <v>0.80586627353844198</v>
      </c>
      <c r="D12" s="22">
        <v>0.5000896364346642</v>
      </c>
      <c r="E12" s="22">
        <v>0.4577</v>
      </c>
      <c r="F12" s="22">
        <v>0.47372205682715901</v>
      </c>
      <c r="G12" s="22">
        <f t="shared" si="2"/>
        <v>0.47372205682715901</v>
      </c>
      <c r="H12" s="22">
        <v>0.54932924781540649</v>
      </c>
      <c r="I12" s="23"/>
      <c r="J12" s="23"/>
      <c r="K12" s="24"/>
      <c r="L12" s="23">
        <f t="shared" si="1"/>
        <v>0.19413372646155802</v>
      </c>
      <c r="M12" s="23">
        <f t="shared" si="1"/>
        <v>0.4999103635653358</v>
      </c>
      <c r="N12" s="23">
        <f t="shared" si="1"/>
        <v>0.5423</v>
      </c>
      <c r="O12" s="23">
        <f t="shared" si="1"/>
        <v>0.52627794317284105</v>
      </c>
      <c r="P12" s="23">
        <f t="shared" si="1"/>
        <v>0.52627794317284105</v>
      </c>
      <c r="Q12" s="23">
        <f t="shared" si="1"/>
        <v>0.45067075218459351</v>
      </c>
      <c r="R12" s="24"/>
      <c r="S12" s="25"/>
      <c r="T12" s="25"/>
      <c r="U12" s="25"/>
      <c r="V12" s="25"/>
      <c r="W12" s="25"/>
      <c r="X12" s="25"/>
      <c r="Y12" s="25"/>
      <c r="Z12" s="25"/>
    </row>
    <row r="13" spans="1:26" x14ac:dyDescent="0.35">
      <c r="A13" s="14"/>
      <c r="B13" s="21" t="s">
        <v>18</v>
      </c>
      <c r="C13" s="22">
        <v>0.94478191456567617</v>
      </c>
      <c r="D13" s="22">
        <v>0.58742553739827674</v>
      </c>
      <c r="E13" s="22">
        <v>0.51680000000000004</v>
      </c>
      <c r="F13" s="22">
        <v>0.60639567384338555</v>
      </c>
      <c r="G13" s="22">
        <f t="shared" si="2"/>
        <v>0.60639567384338555</v>
      </c>
      <c r="H13" s="22">
        <v>0.63256637889260536</v>
      </c>
      <c r="I13" s="23"/>
      <c r="J13" s="23"/>
      <c r="K13" s="24"/>
      <c r="L13" s="23">
        <f t="shared" si="1"/>
        <v>5.5218085434323827E-2</v>
      </c>
      <c r="M13" s="23">
        <f t="shared" si="1"/>
        <v>0.41257446260172326</v>
      </c>
      <c r="N13" s="23">
        <f t="shared" si="1"/>
        <v>0.48319999999999996</v>
      </c>
      <c r="O13" s="23">
        <f t="shared" si="1"/>
        <v>0.39360432615661445</v>
      </c>
      <c r="P13" s="23">
        <f t="shared" si="1"/>
        <v>0.39360432615661445</v>
      </c>
      <c r="Q13" s="23">
        <f t="shared" si="1"/>
        <v>0.36743362110739464</v>
      </c>
      <c r="R13" s="24"/>
      <c r="S13" s="25"/>
      <c r="T13" s="25"/>
      <c r="U13" s="25"/>
      <c r="V13" s="25"/>
      <c r="W13" s="25"/>
      <c r="X13" s="25"/>
      <c r="Y13" s="25"/>
      <c r="Z13" s="25"/>
    </row>
    <row r="14" spans="1:26" x14ac:dyDescent="0.35">
      <c r="A14" s="14"/>
      <c r="B14" s="21" t="s">
        <v>19</v>
      </c>
      <c r="C14" s="22">
        <v>0.94583428954741955</v>
      </c>
      <c r="D14" s="22">
        <v>0.5947633614330502</v>
      </c>
      <c r="E14" s="22">
        <v>0.46150000000000002</v>
      </c>
      <c r="F14" s="22">
        <v>0.60918928401005945</v>
      </c>
      <c r="G14" s="22">
        <f t="shared" si="2"/>
        <v>0.60918928401005945</v>
      </c>
      <c r="H14" s="22">
        <v>0.6341828776550722</v>
      </c>
      <c r="I14" s="23"/>
      <c r="J14" s="23"/>
      <c r="K14" s="24"/>
      <c r="L14" s="23">
        <f t="shared" si="1"/>
        <v>5.4165710452580451E-2</v>
      </c>
      <c r="M14" s="23">
        <f t="shared" si="1"/>
        <v>0.4052366385669498</v>
      </c>
      <c r="N14" s="23">
        <f t="shared" si="1"/>
        <v>0.53849999999999998</v>
      </c>
      <c r="O14" s="23">
        <f t="shared" si="1"/>
        <v>0.39081071598994055</v>
      </c>
      <c r="P14" s="23">
        <f t="shared" si="1"/>
        <v>0.39081071598994055</v>
      </c>
      <c r="Q14" s="23">
        <f t="shared" si="1"/>
        <v>0.3658171223449278</v>
      </c>
      <c r="R14" s="24"/>
      <c r="S14" s="25"/>
      <c r="T14" s="25"/>
      <c r="U14" s="25"/>
      <c r="V14" s="25"/>
      <c r="W14" s="25"/>
      <c r="X14" s="25"/>
      <c r="Y14" s="25"/>
      <c r="Z14" s="25"/>
    </row>
    <row r="15" spans="1:26" x14ac:dyDescent="0.35">
      <c r="A15" s="14"/>
      <c r="B15" s="21" t="s">
        <v>20</v>
      </c>
      <c r="C15" s="22">
        <v>0.86653030395685726</v>
      </c>
      <c r="D15" s="22">
        <v>0.54144311597070882</v>
      </c>
      <c r="E15" s="22">
        <v>0.52710000000000001</v>
      </c>
      <c r="F15" s="22">
        <v>0.54067746933627459</v>
      </c>
      <c r="G15" s="22">
        <f t="shared" si="2"/>
        <v>0.54067746933627459</v>
      </c>
      <c r="H15" s="22">
        <v>0.58549568606394187</v>
      </c>
      <c r="I15" s="23"/>
      <c r="J15" s="23"/>
      <c r="K15" s="24"/>
      <c r="L15" s="23">
        <f t="shared" si="1"/>
        <v>0.13346969604314274</v>
      </c>
      <c r="M15" s="23">
        <f t="shared" si="1"/>
        <v>0.45855688402929118</v>
      </c>
      <c r="N15" s="23">
        <f t="shared" si="1"/>
        <v>0.47289999999999999</v>
      </c>
      <c r="O15" s="23">
        <f t="shared" si="1"/>
        <v>0.45932253066372541</v>
      </c>
      <c r="P15" s="23">
        <f t="shared" si="1"/>
        <v>0.45932253066372541</v>
      </c>
      <c r="Q15" s="23">
        <f t="shared" si="1"/>
        <v>0.41450431393605813</v>
      </c>
      <c r="R15" s="24"/>
      <c r="S15" s="25"/>
      <c r="T15" s="25"/>
      <c r="U15" s="25"/>
      <c r="V15" s="25"/>
      <c r="W15" s="25"/>
      <c r="X15" s="25"/>
      <c r="Y15" s="25"/>
      <c r="Z15" s="25"/>
    </row>
    <row r="16" spans="1:26" x14ac:dyDescent="0.35">
      <c r="A16" s="14"/>
      <c r="B16" s="21" t="s">
        <v>21</v>
      </c>
      <c r="C16" s="22">
        <v>0.85439804098701222</v>
      </c>
      <c r="D16" s="22">
        <v>0.54952134168163169</v>
      </c>
      <c r="E16" s="22">
        <v>0.47589999999999999</v>
      </c>
      <c r="F16" s="22">
        <v>0.53123355324935462</v>
      </c>
      <c r="G16" s="22">
        <f t="shared" si="2"/>
        <v>0.53123355324935462</v>
      </c>
      <c r="H16" s="22">
        <v>0.59394697520952155</v>
      </c>
      <c r="I16" s="23"/>
      <c r="J16" s="23"/>
      <c r="K16" s="24"/>
      <c r="L16" s="23">
        <f t="shared" si="1"/>
        <v>0.14560195901298778</v>
      </c>
      <c r="M16" s="23">
        <f t="shared" si="1"/>
        <v>0.45047865831836831</v>
      </c>
      <c r="N16" s="23">
        <f t="shared" si="1"/>
        <v>0.52410000000000001</v>
      </c>
      <c r="O16" s="23">
        <f t="shared" si="1"/>
        <v>0.46876644675064538</v>
      </c>
      <c r="P16" s="23">
        <f t="shared" si="1"/>
        <v>0.46876644675064538</v>
      </c>
      <c r="Q16" s="23">
        <f t="shared" si="1"/>
        <v>0.40605302479047845</v>
      </c>
      <c r="R16" s="24"/>
      <c r="S16" s="25"/>
      <c r="T16" s="25"/>
      <c r="U16" s="25"/>
      <c r="V16" s="25"/>
      <c r="W16" s="25"/>
      <c r="X16" s="25"/>
      <c r="Y16" s="25"/>
      <c r="Z16" s="25"/>
    </row>
    <row r="17" spans="1:26" x14ac:dyDescent="0.35">
      <c r="A17" s="14"/>
      <c r="B17" s="21" t="s">
        <v>22</v>
      </c>
      <c r="C17" s="22">
        <v>0.86748576923962073</v>
      </c>
      <c r="D17" s="22">
        <v>0.54590672893876091</v>
      </c>
      <c r="E17" s="22">
        <v>0.47339999999999999</v>
      </c>
      <c r="F17" s="26">
        <v>0.53191425734812103</v>
      </c>
      <c r="G17" s="22">
        <f t="shared" si="2"/>
        <v>0.53191425734812103</v>
      </c>
      <c r="H17" s="22">
        <v>0.59552848482346199</v>
      </c>
      <c r="I17" s="23"/>
      <c r="J17" s="23"/>
      <c r="K17" s="24"/>
      <c r="L17" s="23">
        <f t="shared" si="1"/>
        <v>0.13251423076037927</v>
      </c>
      <c r="M17" s="23">
        <f t="shared" si="1"/>
        <v>0.45409327106123909</v>
      </c>
      <c r="N17" s="23">
        <f t="shared" si="1"/>
        <v>0.52659999999999996</v>
      </c>
      <c r="O17" s="23">
        <f t="shared" si="1"/>
        <v>0.46808574265187897</v>
      </c>
      <c r="P17" s="23">
        <f t="shared" si="1"/>
        <v>0.46808574265187897</v>
      </c>
      <c r="Q17" s="23">
        <f t="shared" si="1"/>
        <v>0.40447151517653801</v>
      </c>
      <c r="R17" s="24"/>
      <c r="S17" s="25"/>
      <c r="T17" s="25"/>
      <c r="U17" s="25"/>
      <c r="V17" s="25"/>
      <c r="W17" s="25"/>
      <c r="X17" s="25"/>
      <c r="Y17" s="25"/>
      <c r="Z17" s="25"/>
    </row>
    <row r="18" spans="1:26" x14ac:dyDescent="0.35">
      <c r="A18" s="14"/>
      <c r="B18" s="21" t="s">
        <v>23</v>
      </c>
      <c r="C18" s="22">
        <v>0.76912860576774855</v>
      </c>
      <c r="D18" s="22">
        <v>0.51175828261910128</v>
      </c>
      <c r="E18" s="22">
        <v>0.46500000000000002</v>
      </c>
      <c r="F18" s="22">
        <v>0.5017655320956963</v>
      </c>
      <c r="G18" s="22">
        <f t="shared" si="2"/>
        <v>0.5017655320956963</v>
      </c>
      <c r="H18" s="22">
        <v>0.55078460644737492</v>
      </c>
      <c r="I18" s="23"/>
      <c r="J18" s="23"/>
      <c r="K18" s="24"/>
      <c r="L18" s="23">
        <f t="shared" si="1"/>
        <v>0.23087139423225145</v>
      </c>
      <c r="M18" s="23">
        <f t="shared" si="1"/>
        <v>0.48824171738089872</v>
      </c>
      <c r="N18" s="23">
        <f t="shared" si="1"/>
        <v>0.53499999999999992</v>
      </c>
      <c r="O18" s="23">
        <f t="shared" si="1"/>
        <v>0.4982344679043037</v>
      </c>
      <c r="P18" s="23">
        <f t="shared" si="1"/>
        <v>0.4982344679043037</v>
      </c>
      <c r="Q18" s="23">
        <f t="shared" si="1"/>
        <v>0.44921539355262508</v>
      </c>
      <c r="R18" s="24"/>
      <c r="S18" s="25"/>
      <c r="T18" s="25"/>
      <c r="U18" s="25"/>
      <c r="V18" s="25"/>
      <c r="W18" s="25"/>
      <c r="X18" s="25"/>
      <c r="Y18" s="25"/>
      <c r="Z18" s="25"/>
    </row>
    <row r="19" spans="1:26" x14ac:dyDescent="0.35">
      <c r="A19" s="14"/>
      <c r="B19" s="21" t="s">
        <v>24</v>
      </c>
      <c r="C19" s="22">
        <v>0.83073113821013589</v>
      </c>
      <c r="D19" s="22">
        <v>0.53402606261155061</v>
      </c>
      <c r="E19" s="22">
        <v>0.45269999999999999</v>
      </c>
      <c r="F19" s="22">
        <v>0.52736504650705451</v>
      </c>
      <c r="G19" s="22">
        <f t="shared" si="2"/>
        <v>0.52736504650705451</v>
      </c>
      <c r="H19" s="22">
        <v>0.57926471761082654</v>
      </c>
      <c r="I19" s="23"/>
      <c r="J19" s="23"/>
      <c r="K19" s="24"/>
      <c r="L19" s="23">
        <f t="shared" si="1"/>
        <v>0.16926886178986411</v>
      </c>
      <c r="M19" s="23">
        <f t="shared" si="1"/>
        <v>0.46597393738844939</v>
      </c>
      <c r="N19" s="23">
        <f t="shared" si="1"/>
        <v>0.54730000000000001</v>
      </c>
      <c r="O19" s="23">
        <f t="shared" si="1"/>
        <v>0.47263495349294549</v>
      </c>
      <c r="P19" s="23">
        <f t="shared" si="1"/>
        <v>0.47263495349294549</v>
      </c>
      <c r="Q19" s="23">
        <f t="shared" si="1"/>
        <v>0.42073528238917346</v>
      </c>
      <c r="R19" s="24"/>
      <c r="S19" s="25"/>
      <c r="T19" s="25"/>
      <c r="U19" s="25"/>
      <c r="V19" s="25"/>
      <c r="W19" s="25"/>
      <c r="X19" s="25"/>
      <c r="Y19" s="25"/>
      <c r="Z19" s="25"/>
    </row>
    <row r="20" spans="1:26" x14ac:dyDescent="0.35">
      <c r="A20" s="14"/>
      <c r="B20" s="21"/>
      <c r="C20" s="24"/>
      <c r="D20" s="24"/>
      <c r="E20" s="24"/>
      <c r="F20" s="27"/>
      <c r="G20" s="27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</row>
    <row r="21" spans="1:26" x14ac:dyDescent="0.35">
      <c r="A21" s="14"/>
      <c r="B21" s="21"/>
      <c r="C21" s="24"/>
      <c r="D21" s="24"/>
      <c r="E21" s="24"/>
      <c r="F21" s="27"/>
      <c r="G21" s="27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</row>
    <row r="22" spans="1:26" ht="13.15" x14ac:dyDescent="0.4">
      <c r="A22" s="9" t="s">
        <v>25</v>
      </c>
      <c r="B22" s="13" t="s">
        <v>26</v>
      </c>
      <c r="C22" s="24"/>
      <c r="D22" s="24"/>
      <c r="E22" s="28" t="s">
        <v>27</v>
      </c>
      <c r="F22" s="27"/>
      <c r="G22" s="27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</row>
    <row r="23" spans="1:26" ht="38.25" x14ac:dyDescent="0.35">
      <c r="A23" s="14"/>
      <c r="C23" s="15" t="s">
        <v>28</v>
      </c>
      <c r="D23" s="15"/>
      <c r="E23" s="15" t="s">
        <v>28</v>
      </c>
      <c r="F23" s="15" t="s">
        <v>28</v>
      </c>
      <c r="G23" s="15" t="s">
        <v>28</v>
      </c>
      <c r="H23" s="15" t="s">
        <v>28</v>
      </c>
      <c r="I23" s="15"/>
      <c r="J23" s="15"/>
      <c r="K23" s="12"/>
      <c r="L23" s="15" t="s">
        <v>28</v>
      </c>
      <c r="M23" s="29" t="str">
        <f>M1-2&amp;" Forecasted Billed Sales"</f>
        <v>2025 Forecasted Billed Sales</v>
      </c>
      <c r="N23" s="15" t="s">
        <v>28</v>
      </c>
      <c r="O23" s="15" t="s">
        <v>28</v>
      </c>
      <c r="P23" s="15" t="s">
        <v>28</v>
      </c>
      <c r="Q23" s="15" t="s">
        <v>28</v>
      </c>
      <c r="R23" s="29"/>
    </row>
    <row r="24" spans="1:26" ht="13.15" x14ac:dyDescent="0.4">
      <c r="A24" s="14"/>
      <c r="B24" s="17" t="s">
        <v>29</v>
      </c>
      <c r="C24" s="18" t="str">
        <f>+C6</f>
        <v>SC1</v>
      </c>
      <c r="D24" s="18" t="str">
        <f t="shared" ref="D24:H24" si="3">+D6</f>
        <v>SC3</v>
      </c>
      <c r="E24" s="18" t="str">
        <f t="shared" si="3"/>
        <v>SC2 ND</v>
      </c>
      <c r="F24" s="18" t="str">
        <f t="shared" si="3"/>
        <v>SC4</v>
      </c>
      <c r="G24" s="18" t="str">
        <f t="shared" si="3"/>
        <v>SC6</v>
      </c>
      <c r="H24" s="18" t="str">
        <f t="shared" si="3"/>
        <v>SC2 Dem</v>
      </c>
      <c r="I24" s="18" t="s">
        <v>30</v>
      </c>
      <c r="J24" s="19"/>
      <c r="K24" s="20"/>
      <c r="L24" s="19" t="str">
        <f t="shared" ref="L24:Q24" si="4">+C6</f>
        <v>SC1</v>
      </c>
      <c r="M24" s="19" t="str">
        <f t="shared" si="4"/>
        <v>SC3</v>
      </c>
      <c r="N24" s="19" t="str">
        <f t="shared" si="4"/>
        <v>SC2 ND</v>
      </c>
      <c r="O24" s="19" t="str">
        <f t="shared" si="4"/>
        <v>SC4</v>
      </c>
      <c r="P24" s="19" t="str">
        <f t="shared" si="4"/>
        <v>SC6</v>
      </c>
      <c r="Q24" s="19" t="str">
        <f t="shared" si="4"/>
        <v>SC2 Dem</v>
      </c>
      <c r="R24" s="19" t="s">
        <v>30</v>
      </c>
    </row>
    <row r="25" spans="1:26" x14ac:dyDescent="0.35">
      <c r="A25" s="14"/>
    </row>
    <row r="26" spans="1:26" x14ac:dyDescent="0.35">
      <c r="A26" s="14"/>
      <c r="B26" s="21" t="s">
        <v>13</v>
      </c>
      <c r="C26" s="30" t="s">
        <v>31</v>
      </c>
      <c r="D26" s="31">
        <v>0.38100000000000001</v>
      </c>
      <c r="E26" s="30" t="s">
        <v>31</v>
      </c>
      <c r="F26" s="30" t="s">
        <v>31</v>
      </c>
      <c r="G26" s="30" t="s">
        <v>31</v>
      </c>
      <c r="H26" s="30" t="s">
        <v>31</v>
      </c>
      <c r="I26" s="31">
        <v>0.23233717476007615</v>
      </c>
      <c r="J26" s="23"/>
      <c r="K26" s="24"/>
      <c r="L26" s="24"/>
      <c r="M26" s="23">
        <f t="shared" ref="M26:M37" si="5">1-D26</f>
        <v>0.61899999999999999</v>
      </c>
      <c r="N26" s="24"/>
      <c r="O26" s="24"/>
      <c r="P26" s="24"/>
      <c r="Q26" s="24"/>
      <c r="R26" s="23">
        <f>1-I26</f>
        <v>0.7676628252399238</v>
      </c>
    </row>
    <row r="27" spans="1:26" x14ac:dyDescent="0.35">
      <c r="A27" s="14"/>
      <c r="B27" s="21" t="s">
        <v>14</v>
      </c>
      <c r="C27" s="30" t="s">
        <v>31</v>
      </c>
      <c r="D27" s="31">
        <v>0.38100000000000001</v>
      </c>
      <c r="E27" s="30" t="s">
        <v>31</v>
      </c>
      <c r="F27" s="30" t="s">
        <v>31</v>
      </c>
      <c r="G27" s="30" t="s">
        <v>31</v>
      </c>
      <c r="H27" s="30" t="s">
        <v>31</v>
      </c>
      <c r="I27" s="31">
        <v>0.24400519211966873</v>
      </c>
      <c r="J27" s="23"/>
      <c r="K27" s="24"/>
      <c r="L27" s="24"/>
      <c r="M27" s="23">
        <f t="shared" si="5"/>
        <v>0.61899999999999999</v>
      </c>
      <c r="N27" s="24"/>
      <c r="O27" s="24"/>
      <c r="P27" s="24"/>
      <c r="Q27" s="24"/>
      <c r="R27" s="23">
        <f t="shared" ref="R27:R37" si="6">1-I27</f>
        <v>0.75599480788033124</v>
      </c>
    </row>
    <row r="28" spans="1:26" x14ac:dyDescent="0.35">
      <c r="A28" s="14"/>
      <c r="B28" s="21" t="s">
        <v>15</v>
      </c>
      <c r="C28" s="30" t="s">
        <v>31</v>
      </c>
      <c r="D28" s="31">
        <v>0.34</v>
      </c>
      <c r="E28" s="30" t="s">
        <v>31</v>
      </c>
      <c r="F28" s="30" t="s">
        <v>31</v>
      </c>
      <c r="G28" s="30" t="s">
        <v>31</v>
      </c>
      <c r="H28" s="30" t="s">
        <v>31</v>
      </c>
      <c r="I28" s="31">
        <v>0.23361763465989074</v>
      </c>
      <c r="J28" s="23"/>
      <c r="K28" s="24"/>
      <c r="L28" s="24"/>
      <c r="M28" s="23">
        <f t="shared" si="5"/>
        <v>0.65999999999999992</v>
      </c>
      <c r="N28" s="24"/>
      <c r="O28" s="24"/>
      <c r="P28" s="24"/>
      <c r="Q28" s="24"/>
      <c r="R28" s="23">
        <f t="shared" si="6"/>
        <v>0.76638236534010928</v>
      </c>
    </row>
    <row r="29" spans="1:26" x14ac:dyDescent="0.35">
      <c r="A29" s="14"/>
      <c r="B29" s="21" t="s">
        <v>16</v>
      </c>
      <c r="C29" s="30" t="s">
        <v>31</v>
      </c>
      <c r="D29" s="31">
        <v>0.35299999999999998</v>
      </c>
      <c r="E29" s="30" t="s">
        <v>31</v>
      </c>
      <c r="F29" s="30" t="s">
        <v>31</v>
      </c>
      <c r="G29" s="30" t="s">
        <v>31</v>
      </c>
      <c r="H29" s="30" t="s">
        <v>31</v>
      </c>
      <c r="I29" s="31">
        <v>0.22673527607328028</v>
      </c>
      <c r="J29" s="23"/>
      <c r="K29" s="24"/>
      <c r="L29" s="24"/>
      <c r="M29" s="23">
        <f t="shared" si="5"/>
        <v>0.64700000000000002</v>
      </c>
      <c r="N29" s="24"/>
      <c r="O29" s="24"/>
      <c r="P29" s="24"/>
      <c r="Q29" s="24"/>
      <c r="R29" s="23">
        <f t="shared" si="6"/>
        <v>0.77326472392671974</v>
      </c>
    </row>
    <row r="30" spans="1:26" x14ac:dyDescent="0.35">
      <c r="A30" s="14"/>
      <c r="B30" s="21" t="s">
        <v>17</v>
      </c>
      <c r="C30" s="30" t="s">
        <v>31</v>
      </c>
      <c r="D30" s="31">
        <v>0.38300000000000001</v>
      </c>
      <c r="E30" s="30" t="s">
        <v>31</v>
      </c>
      <c r="F30" s="30" t="s">
        <v>31</v>
      </c>
      <c r="G30" s="30" t="s">
        <v>31</v>
      </c>
      <c r="H30" s="30" t="s">
        <v>31</v>
      </c>
      <c r="I30" s="31">
        <v>0.26512836359132674</v>
      </c>
      <c r="J30" s="23"/>
      <c r="K30" s="24"/>
      <c r="L30" s="24"/>
      <c r="M30" s="23">
        <f t="shared" si="5"/>
        <v>0.61699999999999999</v>
      </c>
      <c r="N30" s="24"/>
      <c r="O30" s="24"/>
      <c r="P30" s="24"/>
      <c r="Q30" s="24"/>
      <c r="R30" s="23">
        <f t="shared" si="6"/>
        <v>0.73487163640867326</v>
      </c>
    </row>
    <row r="31" spans="1:26" x14ac:dyDescent="0.35">
      <c r="A31" s="14"/>
      <c r="B31" s="21" t="s">
        <v>18</v>
      </c>
      <c r="C31" s="30" t="s">
        <v>31</v>
      </c>
      <c r="D31" s="31">
        <v>0.39800000000000002</v>
      </c>
      <c r="E31" s="30" t="s">
        <v>31</v>
      </c>
      <c r="F31" s="30" t="s">
        <v>31</v>
      </c>
      <c r="G31" s="30" t="s">
        <v>31</v>
      </c>
      <c r="H31" s="30" t="s">
        <v>31</v>
      </c>
      <c r="I31" s="31">
        <v>0.3046792367494443</v>
      </c>
      <c r="J31" s="23"/>
      <c r="K31" s="24"/>
      <c r="L31" s="24"/>
      <c r="M31" s="23">
        <f t="shared" si="5"/>
        <v>0.60199999999999998</v>
      </c>
      <c r="N31" s="24"/>
      <c r="O31" s="24"/>
      <c r="P31" s="24"/>
      <c r="Q31" s="24"/>
      <c r="R31" s="23">
        <f t="shared" si="6"/>
        <v>0.6953207632505557</v>
      </c>
    </row>
    <row r="32" spans="1:26" x14ac:dyDescent="0.35">
      <c r="A32" s="14"/>
      <c r="B32" s="21" t="s">
        <v>19</v>
      </c>
      <c r="C32" s="30" t="s">
        <v>31</v>
      </c>
      <c r="D32" s="31">
        <v>0.42599999999999999</v>
      </c>
      <c r="E32" s="30" t="s">
        <v>31</v>
      </c>
      <c r="F32" s="30" t="s">
        <v>31</v>
      </c>
      <c r="G32" s="30" t="s">
        <v>31</v>
      </c>
      <c r="H32" s="30" t="s">
        <v>31</v>
      </c>
      <c r="I32" s="31">
        <v>0.31394108115367292</v>
      </c>
      <c r="J32" s="23"/>
      <c r="K32" s="24"/>
      <c r="L32" s="24"/>
      <c r="M32" s="23">
        <f t="shared" si="5"/>
        <v>0.57400000000000007</v>
      </c>
      <c r="N32" s="24"/>
      <c r="O32" s="24"/>
      <c r="P32" s="24"/>
      <c r="Q32" s="24"/>
      <c r="R32" s="23">
        <f t="shared" si="6"/>
        <v>0.68605891884632708</v>
      </c>
    </row>
    <row r="33" spans="1:19" x14ac:dyDescent="0.35">
      <c r="A33" s="14"/>
      <c r="B33" s="21" t="s">
        <v>20</v>
      </c>
      <c r="C33" s="30" t="s">
        <v>31</v>
      </c>
      <c r="D33" s="31">
        <v>0.45600000000000002</v>
      </c>
      <c r="E33" s="30" t="s">
        <v>31</v>
      </c>
      <c r="F33" s="30" t="s">
        <v>31</v>
      </c>
      <c r="G33" s="30" t="s">
        <v>31</v>
      </c>
      <c r="H33" s="30" t="s">
        <v>31</v>
      </c>
      <c r="I33" s="31">
        <v>0.31835902075449962</v>
      </c>
      <c r="J33" s="23"/>
      <c r="K33" s="24"/>
      <c r="L33" s="24"/>
      <c r="M33" s="23">
        <f t="shared" si="5"/>
        <v>0.54400000000000004</v>
      </c>
      <c r="N33" s="24"/>
      <c r="O33" s="24"/>
      <c r="P33" s="24"/>
      <c r="Q33" s="24"/>
      <c r="R33" s="23">
        <f t="shared" si="6"/>
        <v>0.68164097924550038</v>
      </c>
    </row>
    <row r="34" spans="1:19" x14ac:dyDescent="0.35">
      <c r="A34" s="14"/>
      <c r="B34" s="21" t="s">
        <v>21</v>
      </c>
      <c r="C34" s="30" t="s">
        <v>31</v>
      </c>
      <c r="D34" s="31">
        <v>0.371</v>
      </c>
      <c r="E34" s="30" t="s">
        <v>31</v>
      </c>
      <c r="F34" s="30" t="s">
        <v>31</v>
      </c>
      <c r="G34" s="30" t="s">
        <v>31</v>
      </c>
      <c r="H34" s="30" t="s">
        <v>31</v>
      </c>
      <c r="I34" s="31">
        <v>0.29385621903041503</v>
      </c>
      <c r="J34" s="23"/>
      <c r="K34" s="24"/>
      <c r="L34" s="24"/>
      <c r="M34" s="23">
        <f t="shared" si="5"/>
        <v>0.629</v>
      </c>
      <c r="N34" s="24"/>
      <c r="O34" s="24"/>
      <c r="P34" s="24"/>
      <c r="Q34" s="24"/>
      <c r="R34" s="23">
        <f t="shared" si="6"/>
        <v>0.70614378096958497</v>
      </c>
    </row>
    <row r="35" spans="1:19" x14ac:dyDescent="0.35">
      <c r="A35" s="14"/>
      <c r="B35" s="21" t="s">
        <v>22</v>
      </c>
      <c r="C35" s="30" t="s">
        <v>31</v>
      </c>
      <c r="D35" s="31">
        <v>0.38700000000000001</v>
      </c>
      <c r="E35" s="30" t="s">
        <v>31</v>
      </c>
      <c r="F35" s="30" t="s">
        <v>31</v>
      </c>
      <c r="G35" s="30" t="s">
        <v>31</v>
      </c>
      <c r="H35" s="30" t="s">
        <v>31</v>
      </c>
      <c r="I35" s="31">
        <v>0.24085108196240684</v>
      </c>
      <c r="J35" s="23"/>
      <c r="K35" s="24"/>
      <c r="L35" s="24"/>
      <c r="M35" s="23">
        <f t="shared" si="5"/>
        <v>0.61299999999999999</v>
      </c>
      <c r="N35" s="24"/>
      <c r="O35" s="24"/>
      <c r="P35" s="24"/>
      <c r="Q35" s="24"/>
      <c r="R35" s="23">
        <f t="shared" si="6"/>
        <v>0.75914891803759321</v>
      </c>
    </row>
    <row r="36" spans="1:19" x14ac:dyDescent="0.35">
      <c r="A36" s="14"/>
      <c r="B36" s="21" t="s">
        <v>23</v>
      </c>
      <c r="C36" s="30" t="s">
        <v>31</v>
      </c>
      <c r="D36" s="31">
        <v>0.371</v>
      </c>
      <c r="E36" s="30" t="s">
        <v>31</v>
      </c>
      <c r="F36" s="30" t="s">
        <v>31</v>
      </c>
      <c r="G36" s="30" t="s">
        <v>31</v>
      </c>
      <c r="H36" s="30" t="s">
        <v>31</v>
      </c>
      <c r="I36" s="31">
        <v>0.2595146172472958</v>
      </c>
      <c r="J36" s="23"/>
      <c r="K36" s="24"/>
      <c r="L36" s="24"/>
      <c r="M36" s="23">
        <f t="shared" si="5"/>
        <v>0.629</v>
      </c>
      <c r="N36" s="24"/>
      <c r="O36" s="24"/>
      <c r="P36" s="24"/>
      <c r="Q36" s="24"/>
      <c r="R36" s="23">
        <f t="shared" si="6"/>
        <v>0.74048538275270426</v>
      </c>
    </row>
    <row r="37" spans="1:19" x14ac:dyDescent="0.35">
      <c r="A37" s="14"/>
      <c r="B37" s="21" t="s">
        <v>24</v>
      </c>
      <c r="C37" s="30" t="s">
        <v>31</v>
      </c>
      <c r="D37" s="31">
        <v>0.35099999999999998</v>
      </c>
      <c r="E37" s="30" t="s">
        <v>31</v>
      </c>
      <c r="F37" s="30" t="s">
        <v>31</v>
      </c>
      <c r="G37" s="30" t="s">
        <v>31</v>
      </c>
      <c r="H37" s="30" t="s">
        <v>31</v>
      </c>
      <c r="I37" s="31">
        <v>0.24645308496691076</v>
      </c>
      <c r="J37" s="23"/>
      <c r="K37" s="24"/>
      <c r="L37" s="24"/>
      <c r="M37" s="23">
        <f t="shared" si="5"/>
        <v>0.64900000000000002</v>
      </c>
      <c r="N37" s="24"/>
      <c r="O37" s="24"/>
      <c r="P37" s="24"/>
      <c r="Q37" s="24"/>
      <c r="R37" s="23">
        <f t="shared" si="6"/>
        <v>0.75354691503308924</v>
      </c>
    </row>
    <row r="38" spans="1:19" x14ac:dyDescent="0.35">
      <c r="A38" s="14"/>
      <c r="B38" s="21"/>
      <c r="C38" s="24"/>
      <c r="D38" s="24"/>
      <c r="E38" s="24"/>
      <c r="F38" s="27"/>
      <c r="G38" s="27"/>
      <c r="H38" s="24"/>
      <c r="I38" s="24"/>
      <c r="J38" s="24"/>
      <c r="K38" s="24"/>
      <c r="L38" s="24"/>
      <c r="M38" s="24"/>
      <c r="N38" s="24"/>
      <c r="O38" s="24"/>
      <c r="P38" s="24"/>
      <c r="R38" s="24"/>
      <c r="S38" s="24"/>
    </row>
    <row r="39" spans="1:19" x14ac:dyDescent="0.35">
      <c r="A39" s="14"/>
      <c r="B39" s="21"/>
      <c r="C39" s="24"/>
      <c r="D39" s="24"/>
      <c r="E39" s="24"/>
      <c r="F39" s="27"/>
      <c r="G39" s="27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</row>
    <row r="40" spans="1:19" ht="13.15" x14ac:dyDescent="0.4">
      <c r="A40" s="9" t="s">
        <v>32</v>
      </c>
      <c r="B40" s="32" t="s">
        <v>33</v>
      </c>
      <c r="L40" s="33" t="s">
        <v>34</v>
      </c>
    </row>
    <row r="41" spans="1:19" x14ac:dyDescent="0.35">
      <c r="A41" s="14"/>
      <c r="B41" s="34" t="str">
        <f>"Calendar month billed sales forecasted for " &amp;M1</f>
        <v>Calendar month billed sales forecasted for 2027</v>
      </c>
    </row>
    <row r="42" spans="1:19" ht="13.15" x14ac:dyDescent="0.4">
      <c r="A42" s="14"/>
      <c r="B42" s="12" t="s">
        <v>35</v>
      </c>
      <c r="C42" s="35" t="str">
        <f>+C6</f>
        <v>SC1</v>
      </c>
      <c r="D42" s="35" t="str">
        <f t="shared" ref="D42:H42" si="7">+D6</f>
        <v>SC3</v>
      </c>
      <c r="E42" s="35" t="str">
        <f t="shared" si="7"/>
        <v>SC2 ND</v>
      </c>
      <c r="F42" s="35" t="str">
        <f t="shared" si="7"/>
        <v>SC4</v>
      </c>
      <c r="G42" s="35" t="str">
        <f t="shared" si="7"/>
        <v>SC6</v>
      </c>
      <c r="H42" s="35" t="str">
        <f t="shared" si="7"/>
        <v>SC2 Dem</v>
      </c>
      <c r="I42" s="35" t="s">
        <v>36</v>
      </c>
      <c r="J42" s="19"/>
      <c r="K42" s="19"/>
      <c r="L42" s="19" t="str">
        <f t="shared" ref="L42:Q42" si="8">+C6</f>
        <v>SC1</v>
      </c>
      <c r="M42" s="19" t="str">
        <f t="shared" si="8"/>
        <v>SC3</v>
      </c>
      <c r="N42" s="19" t="str">
        <f t="shared" si="8"/>
        <v>SC2 ND</v>
      </c>
      <c r="O42" s="19" t="str">
        <f t="shared" si="8"/>
        <v>SC4</v>
      </c>
      <c r="P42" s="19" t="str">
        <f t="shared" si="8"/>
        <v>SC6</v>
      </c>
      <c r="Q42" s="19" t="str">
        <f t="shared" si="8"/>
        <v>SC2 Dem</v>
      </c>
      <c r="R42" s="19" t="s">
        <v>30</v>
      </c>
    </row>
    <row r="43" spans="1:19" x14ac:dyDescent="0.35">
      <c r="A43" s="14"/>
    </row>
    <row r="44" spans="1:19" x14ac:dyDescent="0.35">
      <c r="A44" s="14"/>
      <c r="B44" s="21" t="s">
        <v>13</v>
      </c>
      <c r="C44" s="36">
        <v>62434</v>
      </c>
      <c r="D44" s="36">
        <v>28.799241666667513</v>
      </c>
      <c r="E44" s="36">
        <f>'Backup Calcs'!D79</f>
        <v>1461</v>
      </c>
      <c r="F44" s="36">
        <v>615.5</v>
      </c>
      <c r="G44" s="36">
        <v>477</v>
      </c>
      <c r="H44" s="36">
        <f>'Backup Calcs'!E79</f>
        <v>29714.79862139843</v>
      </c>
      <c r="I44" s="36">
        <f t="shared" ref="I44:I55" si="9">SUM(C44:H44)</f>
        <v>94731.097863065093</v>
      </c>
      <c r="J44" s="36"/>
      <c r="K44" s="37" t="s">
        <v>37</v>
      </c>
      <c r="L44" s="38">
        <f t="shared" ref="L44:Q44" si="10">SUM(C44:C48,C53:C55)</f>
        <v>418285</v>
      </c>
      <c r="M44" s="36">
        <f t="shared" si="10"/>
        <v>196.14260799999465</v>
      </c>
      <c r="N44" s="36">
        <f t="shared" si="10"/>
        <v>8526</v>
      </c>
      <c r="O44" s="36">
        <f t="shared" si="10"/>
        <v>4362</v>
      </c>
      <c r="P44" s="36">
        <f t="shared" si="10"/>
        <v>3444</v>
      </c>
      <c r="Q44" s="36">
        <f t="shared" si="10"/>
        <v>224400.92990207253</v>
      </c>
      <c r="R44" s="36">
        <f>L44</f>
        <v>418285</v>
      </c>
    </row>
    <row r="45" spans="1:19" x14ac:dyDescent="0.35">
      <c r="A45" s="14"/>
      <c r="B45" s="21" t="s">
        <v>14</v>
      </c>
      <c r="C45" s="36">
        <v>55849</v>
      </c>
      <c r="D45" s="36">
        <v>26.432756666661589</v>
      </c>
      <c r="E45" s="36">
        <f>'Backup Calcs'!D80</f>
        <v>1504</v>
      </c>
      <c r="F45" s="36">
        <v>644</v>
      </c>
      <c r="G45" s="36">
        <v>392</v>
      </c>
      <c r="H45" s="36">
        <f>'Backup Calcs'!E80</f>
        <v>30985.485159026954</v>
      </c>
      <c r="I45" s="36">
        <f t="shared" si="9"/>
        <v>89400.917915693615</v>
      </c>
      <c r="J45" s="36"/>
      <c r="K45" s="37" t="s">
        <v>38</v>
      </c>
      <c r="L45" s="38"/>
      <c r="M45" s="36">
        <f>SUMPRODUCT(D26:D30,D44:D48)+SUMPRODUCT(D35:D37,D53:D55)</f>
        <v>72.269621511997698</v>
      </c>
      <c r="R45" s="36">
        <f>SUMPRODUCT(I26:I30,C44:C48)+SUMPRODUCT(I35:I37,C53:C55)</f>
        <v>101722.64365379649</v>
      </c>
    </row>
    <row r="46" spans="1:19" x14ac:dyDescent="0.35">
      <c r="A46" s="14"/>
      <c r="B46" s="21" t="s">
        <v>15</v>
      </c>
      <c r="C46" s="36">
        <v>49736.5</v>
      </c>
      <c r="D46" s="36">
        <v>24.465430000011111</v>
      </c>
      <c r="E46" s="36">
        <f>'Backup Calcs'!D81</f>
        <v>1112</v>
      </c>
      <c r="F46" s="36">
        <v>543.5</v>
      </c>
      <c r="G46" s="36">
        <v>379.5</v>
      </c>
      <c r="H46" s="36">
        <f>'Backup Calcs'!E81</f>
        <v>27467.368271151223</v>
      </c>
      <c r="I46" s="36">
        <f t="shared" si="9"/>
        <v>79263.333701151234</v>
      </c>
      <c r="J46" s="36"/>
      <c r="K46" s="37" t="s">
        <v>39</v>
      </c>
      <c r="L46" s="38"/>
      <c r="M46" s="36">
        <f>+M44-M45</f>
        <v>123.87298648799695</v>
      </c>
      <c r="R46" s="36">
        <f>R44-R45</f>
        <v>316562.35634620348</v>
      </c>
    </row>
    <row r="47" spans="1:19" x14ac:dyDescent="0.35">
      <c r="A47" s="14"/>
      <c r="B47" s="21" t="s">
        <v>16</v>
      </c>
      <c r="C47" s="36">
        <v>45075.5</v>
      </c>
      <c r="D47" s="36">
        <v>23.637863333329733</v>
      </c>
      <c r="E47" s="36">
        <f>'Backup Calcs'!D82</f>
        <v>875</v>
      </c>
      <c r="F47" s="36">
        <v>373</v>
      </c>
      <c r="G47" s="36">
        <v>308</v>
      </c>
      <c r="H47" s="36">
        <f>'Backup Calcs'!E82</f>
        <v>24316.608897350838</v>
      </c>
      <c r="I47" s="36">
        <f t="shared" si="9"/>
        <v>70971.746760684167</v>
      </c>
      <c r="J47" s="36"/>
    </row>
    <row r="48" spans="1:19" x14ac:dyDescent="0.35">
      <c r="A48" s="14"/>
      <c r="B48" s="21" t="s">
        <v>17</v>
      </c>
      <c r="C48" s="36">
        <v>47795</v>
      </c>
      <c r="D48" s="36">
        <v>22.338157666665211</v>
      </c>
      <c r="E48" s="36">
        <f>'Backup Calcs'!D83</f>
        <v>750</v>
      </c>
      <c r="F48" s="36">
        <v>475.5</v>
      </c>
      <c r="G48" s="36">
        <v>409</v>
      </c>
      <c r="H48" s="36">
        <f>'Backup Calcs'!E83</f>
        <v>27609.53531297241</v>
      </c>
      <c r="I48" s="36">
        <f t="shared" si="9"/>
        <v>77061.373470639082</v>
      </c>
      <c r="J48" s="36"/>
      <c r="K48" s="37" t="s">
        <v>40</v>
      </c>
      <c r="L48" s="38">
        <f>SUM(C49:C52)</f>
        <v>329626.5</v>
      </c>
      <c r="M48" s="36">
        <f>+SUM(D49:D52)</f>
        <v>119.05706366668164</v>
      </c>
      <c r="N48" s="36">
        <f>+SUM(E49:E52)</f>
        <v>3487</v>
      </c>
      <c r="O48" s="36">
        <f>+SUM(F49:F52)</f>
        <v>1696.5</v>
      </c>
      <c r="P48" s="36">
        <f>+SUM(G49:G52)</f>
        <v>1455</v>
      </c>
      <c r="Q48" s="36">
        <f>+SUM(H49:H52)</f>
        <v>133219.42662814361</v>
      </c>
      <c r="R48" s="36">
        <f>L48</f>
        <v>329626.5</v>
      </c>
    </row>
    <row r="49" spans="1:23" x14ac:dyDescent="0.35">
      <c r="A49" s="14"/>
      <c r="B49" s="21" t="s">
        <v>18</v>
      </c>
      <c r="C49" s="36">
        <v>66132</v>
      </c>
      <c r="D49" s="36">
        <v>25.675472000002628</v>
      </c>
      <c r="E49" s="36">
        <f>'Backup Calcs'!D84</f>
        <v>739</v>
      </c>
      <c r="F49" s="36">
        <v>415.5</v>
      </c>
      <c r="G49" s="36">
        <v>379</v>
      </c>
      <c r="H49" s="36">
        <f>'Backup Calcs'!E84</f>
        <v>28259.871795696417</v>
      </c>
      <c r="I49" s="36">
        <f t="shared" si="9"/>
        <v>95951.047267696413</v>
      </c>
      <c r="J49" s="36"/>
      <c r="K49" s="37" t="s">
        <v>38</v>
      </c>
      <c r="L49" s="38"/>
      <c r="M49" s="36">
        <f>+SUMPRODUCT(D31:D34,D49:D52)</f>
        <v>49.396252881007008</v>
      </c>
      <c r="R49" s="36">
        <f>+SUMPRODUCT(I31:I34,C49:C52)</f>
        <v>101654.35901545962</v>
      </c>
    </row>
    <row r="50" spans="1:23" x14ac:dyDescent="0.35">
      <c r="A50" s="14"/>
      <c r="B50" s="21" t="s">
        <v>19</v>
      </c>
      <c r="C50" s="36">
        <v>91475</v>
      </c>
      <c r="D50" s="36">
        <v>30.346819333339226</v>
      </c>
      <c r="E50" s="36">
        <f>'Backup Calcs'!D85</f>
        <v>931</v>
      </c>
      <c r="F50" s="36">
        <v>418.5</v>
      </c>
      <c r="G50" s="36">
        <v>333.5</v>
      </c>
      <c r="H50" s="36">
        <f>'Backup Calcs'!E85</f>
        <v>34268.475504603593</v>
      </c>
      <c r="I50" s="36">
        <f t="shared" si="9"/>
        <v>127456.82232393694</v>
      </c>
      <c r="J50" s="36"/>
      <c r="K50" s="37" t="s">
        <v>39</v>
      </c>
      <c r="L50" s="38"/>
      <c r="M50" s="36">
        <f>+M48-M49</f>
        <v>69.660810785674641</v>
      </c>
      <c r="R50" s="36">
        <f>R48-R49</f>
        <v>227972.1409845404</v>
      </c>
    </row>
    <row r="51" spans="1:23" x14ac:dyDescent="0.35">
      <c r="A51" s="14"/>
      <c r="B51" s="21" t="s">
        <v>20</v>
      </c>
      <c r="C51" s="36">
        <v>91359</v>
      </c>
      <c r="D51" s="36">
        <v>33.691405333345756</v>
      </c>
      <c r="E51" s="36">
        <f>'Backup Calcs'!D86</f>
        <v>955</v>
      </c>
      <c r="F51" s="36">
        <v>402.5</v>
      </c>
      <c r="G51" s="36">
        <v>354.5</v>
      </c>
      <c r="H51" s="36">
        <f>'Backup Calcs'!E86</f>
        <v>36838.265058510922</v>
      </c>
      <c r="I51" s="36">
        <f t="shared" si="9"/>
        <v>129942.95646384427</v>
      </c>
      <c r="J51" s="36"/>
    </row>
    <row r="52" spans="1:23" x14ac:dyDescent="0.35">
      <c r="A52" s="14"/>
      <c r="B52" s="21" t="s">
        <v>21</v>
      </c>
      <c r="C52" s="36">
        <v>80660.5</v>
      </c>
      <c r="D52" s="36">
        <v>29.343366999994032</v>
      </c>
      <c r="E52" s="36">
        <f>'Backup Calcs'!D87</f>
        <v>862</v>
      </c>
      <c r="F52" s="36">
        <v>460</v>
      </c>
      <c r="G52" s="36">
        <v>388</v>
      </c>
      <c r="H52" s="36">
        <f>'Backup Calcs'!E87</f>
        <v>33852.814269332674</v>
      </c>
      <c r="I52" s="36">
        <f t="shared" si="9"/>
        <v>116252.65763633267</v>
      </c>
      <c r="J52" s="36"/>
      <c r="K52" s="37" t="s">
        <v>41</v>
      </c>
      <c r="L52" s="38">
        <f>ROUND(L48*E156,0)</f>
        <v>141772</v>
      </c>
    </row>
    <row r="53" spans="1:23" x14ac:dyDescent="0.35">
      <c r="A53" s="14"/>
      <c r="B53" s="21" t="s">
        <v>22</v>
      </c>
      <c r="C53" s="36">
        <v>55224.5</v>
      </c>
      <c r="D53" s="36">
        <v>23.692758666664304</v>
      </c>
      <c r="E53" s="36">
        <f>'Backup Calcs'!D88</f>
        <v>810</v>
      </c>
      <c r="F53" s="36">
        <v>532.5</v>
      </c>
      <c r="G53" s="36">
        <v>490</v>
      </c>
      <c r="H53" s="36">
        <f>'Backup Calcs'!E88</f>
        <v>31335.68347480824</v>
      </c>
      <c r="I53" s="36">
        <f t="shared" si="9"/>
        <v>88416.376233474904</v>
      </c>
      <c r="J53" s="36"/>
      <c r="K53" s="39" t="s">
        <v>42</v>
      </c>
      <c r="L53" s="38">
        <f>L48-L52</f>
        <v>187854.5</v>
      </c>
    </row>
    <row r="54" spans="1:23" x14ac:dyDescent="0.35">
      <c r="A54" s="14"/>
      <c r="B54" s="21" t="s">
        <v>23</v>
      </c>
      <c r="C54" s="36">
        <v>45707</v>
      </c>
      <c r="D54" s="36">
        <v>21.034489999998186</v>
      </c>
      <c r="E54" s="36">
        <f>'Backup Calcs'!D89</f>
        <v>789</v>
      </c>
      <c r="F54" s="36">
        <v>577</v>
      </c>
      <c r="G54" s="36">
        <v>509</v>
      </c>
      <c r="H54" s="36">
        <f>'Backup Calcs'!E89</f>
        <v>25253.954404008895</v>
      </c>
      <c r="I54" s="36">
        <f t="shared" si="9"/>
        <v>72856.988894008886</v>
      </c>
      <c r="J54" s="36"/>
      <c r="K54" s="39" t="s">
        <v>43</v>
      </c>
      <c r="L54" s="38"/>
    </row>
    <row r="55" spans="1:23" x14ac:dyDescent="0.35">
      <c r="A55" s="14"/>
      <c r="B55" s="21" t="s">
        <v>24</v>
      </c>
      <c r="C55" s="40">
        <v>56463.5</v>
      </c>
      <c r="D55" s="40">
        <v>25.741909999997006</v>
      </c>
      <c r="E55" s="40">
        <f>'Backup Calcs'!D90</f>
        <v>1225</v>
      </c>
      <c r="F55" s="40">
        <v>601</v>
      </c>
      <c r="G55" s="40">
        <v>479.5</v>
      </c>
      <c r="H55" s="40">
        <f>'Backup Calcs'!E90</f>
        <v>27717.495761355549</v>
      </c>
      <c r="I55" s="40">
        <f t="shared" si="9"/>
        <v>86512.237671355542</v>
      </c>
      <c r="J55" s="36"/>
      <c r="M55" s="38"/>
    </row>
    <row r="56" spans="1:23" x14ac:dyDescent="0.35">
      <c r="A56" s="14"/>
      <c r="B56" s="41" t="s">
        <v>36</v>
      </c>
      <c r="C56" s="36">
        <f>SUM(C44:C55)</f>
        <v>747911.5</v>
      </c>
      <c r="D56" s="36">
        <f t="shared" ref="D56:H56" si="11">SUM(D44:D55)</f>
        <v>315.19967166667629</v>
      </c>
      <c r="E56" s="36">
        <f t="shared" si="11"/>
        <v>12013</v>
      </c>
      <c r="F56" s="36">
        <f>SUM(F44:F55)</f>
        <v>6058.5</v>
      </c>
      <c r="G56" s="36">
        <f>SUM(G44:G55)</f>
        <v>4899</v>
      </c>
      <c r="H56" s="36">
        <f t="shared" si="11"/>
        <v>357620.35653021612</v>
      </c>
      <c r="I56" s="36">
        <f>SUM(I44:I55)</f>
        <v>1128817.5562018829</v>
      </c>
      <c r="J56" s="36"/>
      <c r="M56" s="38"/>
    </row>
    <row r="57" spans="1:23" ht="13.15" x14ac:dyDescent="0.4">
      <c r="A57" s="14"/>
      <c r="B57" s="21"/>
      <c r="N57" s="38"/>
      <c r="O57" s="33" t="s">
        <v>44</v>
      </c>
    </row>
    <row r="58" spans="1:23" x14ac:dyDescent="0.35">
      <c r="A58" s="14"/>
      <c r="O58" s="42"/>
      <c r="P58" s="43"/>
      <c r="Q58" s="43"/>
      <c r="R58" s="43"/>
      <c r="S58" s="43"/>
      <c r="T58" s="43"/>
      <c r="U58" s="43"/>
      <c r="V58" s="43"/>
      <c r="W58" s="44"/>
    </row>
    <row r="59" spans="1:23" ht="13.15" x14ac:dyDescent="0.4">
      <c r="A59" s="9" t="s">
        <v>45</v>
      </c>
      <c r="B59" s="33" t="s">
        <v>46</v>
      </c>
      <c r="G59" s="45"/>
      <c r="H59" s="33"/>
      <c r="N59" s="38"/>
      <c r="O59" s="46"/>
      <c r="P59" s="3" t="s">
        <v>47</v>
      </c>
      <c r="W59" s="47"/>
    </row>
    <row r="60" spans="1:23" ht="13.15" x14ac:dyDescent="0.4">
      <c r="A60" s="14"/>
      <c r="B60" s="8" t="s">
        <v>48</v>
      </c>
      <c r="N60" s="38"/>
      <c r="O60" s="48"/>
      <c r="P60" s="19"/>
      <c r="Q60" s="19"/>
      <c r="R60" s="19"/>
      <c r="S60" s="18" t="str">
        <f>D6</f>
        <v>SC3</v>
      </c>
      <c r="T60" s="18"/>
      <c r="U60" s="18"/>
      <c r="V60" s="18" t="s">
        <v>30</v>
      </c>
      <c r="W60" s="49"/>
    </row>
    <row r="61" spans="1:23" ht="13.15" x14ac:dyDescent="0.4">
      <c r="A61" s="14"/>
      <c r="C61" s="35" t="s">
        <v>49</v>
      </c>
      <c r="D61" s="35" t="s">
        <v>50</v>
      </c>
      <c r="G61" s="19"/>
      <c r="H61" s="19"/>
      <c r="I61" s="19"/>
      <c r="N61" s="38"/>
      <c r="O61" s="50"/>
      <c r="W61" s="47"/>
    </row>
    <row r="62" spans="1:23" ht="13.15" x14ac:dyDescent="0.4">
      <c r="A62" s="14"/>
      <c r="B62" s="21" t="s">
        <v>13</v>
      </c>
      <c r="C62" s="51">
        <f t="shared" ref="C62:D73" si="12">G428</f>
        <v>97.05</v>
      </c>
      <c r="D62" s="51">
        <f t="shared" si="12"/>
        <v>81.91</v>
      </c>
      <c r="H62" s="19"/>
      <c r="I62" s="19"/>
      <c r="O62" s="48"/>
      <c r="P62" s="36"/>
      <c r="Q62" s="37" t="s">
        <v>37</v>
      </c>
      <c r="R62" s="36"/>
      <c r="S62" s="52">
        <f>SUM(D44:D48,D53:D55)</f>
        <v>196.14260799999465</v>
      </c>
      <c r="T62" s="36"/>
      <c r="U62" s="52"/>
      <c r="V62" s="36">
        <f>R44</f>
        <v>418285</v>
      </c>
      <c r="W62" s="47"/>
    </row>
    <row r="63" spans="1:23" ht="13.15" x14ac:dyDescent="0.4">
      <c r="A63" s="14"/>
      <c r="B63" s="21" t="s">
        <v>14</v>
      </c>
      <c r="C63" s="51">
        <f t="shared" si="12"/>
        <v>86.88</v>
      </c>
      <c r="D63" s="51">
        <f t="shared" si="12"/>
        <v>71.97</v>
      </c>
      <c r="H63" s="19"/>
      <c r="I63" s="19"/>
      <c r="O63" s="48"/>
      <c r="P63" s="36"/>
      <c r="Q63" s="37" t="s">
        <v>38</v>
      </c>
      <c r="S63" s="52">
        <f>SUMPRODUCT(D26:D30,D44:D48)+SUMPRODUCT(D35:D37,D53:D55)</f>
        <v>72.269621511997698</v>
      </c>
      <c r="T63" s="3">
        <f>S63/S62</f>
        <v>0.36845447426700711</v>
      </c>
      <c r="U63" s="52"/>
      <c r="V63" s="36">
        <f>R45</f>
        <v>101722.64365379649</v>
      </c>
      <c r="W63" s="47"/>
    </row>
    <row r="64" spans="1:23" ht="13.15" x14ac:dyDescent="0.4">
      <c r="A64" s="14"/>
      <c r="B64" s="21" t="s">
        <v>15</v>
      </c>
      <c r="C64" s="51">
        <f t="shared" si="12"/>
        <v>56.42</v>
      </c>
      <c r="D64" s="51">
        <f t="shared" si="12"/>
        <v>45.96</v>
      </c>
      <c r="H64" s="19"/>
      <c r="I64" s="19"/>
      <c r="M64" s="19"/>
      <c r="N64" s="19"/>
      <c r="O64" s="48"/>
      <c r="P64" s="36"/>
      <c r="Q64" s="37" t="s">
        <v>39</v>
      </c>
      <c r="S64" s="52">
        <f>SUMPRODUCT(M26:M30,D44:D48)+SUMPRODUCT(M35:M37,D53:D55)</f>
        <v>123.87298648799695</v>
      </c>
      <c r="U64" s="52"/>
      <c r="V64" s="36">
        <f>R46</f>
        <v>316562.35634620348</v>
      </c>
      <c r="W64" s="47"/>
    </row>
    <row r="65" spans="1:23" ht="13.15" x14ac:dyDescent="0.4">
      <c r="A65" s="14"/>
      <c r="B65" s="21" t="s">
        <v>16</v>
      </c>
      <c r="C65" s="51">
        <f t="shared" si="12"/>
        <v>54.55</v>
      </c>
      <c r="D65" s="51">
        <f t="shared" si="12"/>
        <v>45.21</v>
      </c>
      <c r="H65" s="19"/>
      <c r="I65" s="19"/>
      <c r="O65" s="50"/>
      <c r="W65" s="47"/>
    </row>
    <row r="66" spans="1:23" ht="13.15" x14ac:dyDescent="0.4">
      <c r="A66" s="14"/>
      <c r="B66" s="21" t="s">
        <v>17</v>
      </c>
      <c r="C66" s="51">
        <f t="shared" si="12"/>
        <v>53.43</v>
      </c>
      <c r="D66" s="51">
        <f t="shared" si="12"/>
        <v>44.06</v>
      </c>
      <c r="H66" s="19"/>
      <c r="I66" s="19"/>
      <c r="N66" s="38"/>
      <c r="O66" s="48"/>
      <c r="P66" s="36"/>
      <c r="Q66" s="37" t="s">
        <v>40</v>
      </c>
      <c r="R66" s="36"/>
      <c r="S66" s="52">
        <f>+SUM(D49:D52)</f>
        <v>119.05706366668164</v>
      </c>
      <c r="T66" s="36"/>
      <c r="U66" s="52"/>
      <c r="V66" s="36">
        <f>R48</f>
        <v>329626.5</v>
      </c>
      <c r="W66" s="47"/>
    </row>
    <row r="67" spans="1:23" ht="13.15" x14ac:dyDescent="0.4">
      <c r="A67" s="14"/>
      <c r="B67" s="21" t="s">
        <v>18</v>
      </c>
      <c r="C67" s="51">
        <f t="shared" si="12"/>
        <v>55.58</v>
      </c>
      <c r="D67" s="51">
        <f t="shared" si="12"/>
        <v>34.35</v>
      </c>
      <c r="H67" s="19"/>
      <c r="I67" s="19"/>
      <c r="N67" s="38"/>
      <c r="O67" s="48"/>
      <c r="P67" s="36"/>
      <c r="Q67" s="37" t="s">
        <v>38</v>
      </c>
      <c r="S67" s="52">
        <f>+SUMPRODUCT(D31:D34,D49:D52)</f>
        <v>49.396252881007008</v>
      </c>
      <c r="T67" s="53">
        <f>S67/S66</f>
        <v>0.41489560854028223</v>
      </c>
      <c r="U67" s="52"/>
      <c r="V67" s="36">
        <f>R49</f>
        <v>101654.35901545962</v>
      </c>
      <c r="W67" s="47"/>
    </row>
    <row r="68" spans="1:23" ht="13.15" x14ac:dyDescent="0.4">
      <c r="A68" s="14"/>
      <c r="B68" s="21" t="s">
        <v>19</v>
      </c>
      <c r="C68" s="51">
        <f t="shared" si="12"/>
        <v>80.45</v>
      </c>
      <c r="D68" s="51">
        <f t="shared" si="12"/>
        <v>48.98</v>
      </c>
      <c r="H68" s="19"/>
      <c r="I68" s="19"/>
      <c r="N68" s="38"/>
      <c r="O68" s="48"/>
      <c r="P68" s="36"/>
      <c r="Q68" s="37" t="s">
        <v>39</v>
      </c>
      <c r="S68" s="52">
        <f>SUMPRODUCT(M31:M34,D49:D52)</f>
        <v>69.660810785674641</v>
      </c>
      <c r="U68" s="52"/>
      <c r="V68" s="36">
        <f>R50</f>
        <v>227972.1409845404</v>
      </c>
      <c r="W68" s="47"/>
    </row>
    <row r="69" spans="1:23" ht="13.15" x14ac:dyDescent="0.4">
      <c r="A69" s="14"/>
      <c r="B69" s="21" t="s">
        <v>20</v>
      </c>
      <c r="C69" s="51">
        <f t="shared" si="12"/>
        <v>67.8</v>
      </c>
      <c r="D69" s="51">
        <f t="shared" si="12"/>
        <v>39.979999999999997</v>
      </c>
      <c r="H69" s="19"/>
      <c r="I69" s="19"/>
      <c r="O69" s="48"/>
      <c r="W69" s="47"/>
    </row>
    <row r="70" spans="1:23" ht="13.15" x14ac:dyDescent="0.4">
      <c r="A70" s="14"/>
      <c r="B70" s="21" t="s">
        <v>21</v>
      </c>
      <c r="C70" s="51">
        <f t="shared" si="12"/>
        <v>56.87</v>
      </c>
      <c r="D70" s="51">
        <f t="shared" si="12"/>
        <v>35.33</v>
      </c>
      <c r="H70" s="19"/>
      <c r="I70" s="19"/>
      <c r="N70" s="38"/>
      <c r="O70" s="46"/>
      <c r="P70" s="3" t="s">
        <v>51</v>
      </c>
      <c r="W70" s="47"/>
    </row>
    <row r="71" spans="1:23" ht="13.15" x14ac:dyDescent="0.4">
      <c r="A71" s="14"/>
      <c r="B71" s="21" t="s">
        <v>22</v>
      </c>
      <c r="C71" s="51">
        <f t="shared" si="12"/>
        <v>58.51</v>
      </c>
      <c r="D71" s="51">
        <f t="shared" si="12"/>
        <v>47.84</v>
      </c>
      <c r="H71" s="19"/>
      <c r="I71" s="19"/>
      <c r="N71" s="38"/>
      <c r="O71" s="48"/>
      <c r="P71" s="19"/>
      <c r="Q71" s="19"/>
      <c r="R71" s="19"/>
      <c r="S71" s="19" t="str">
        <f>S60</f>
        <v>SC3</v>
      </c>
      <c r="T71" s="19"/>
      <c r="U71" s="19"/>
      <c r="V71" s="19"/>
      <c r="W71" s="47"/>
    </row>
    <row r="72" spans="1:23" ht="13.15" x14ac:dyDescent="0.4">
      <c r="A72" s="14"/>
      <c r="B72" s="21" t="s">
        <v>23</v>
      </c>
      <c r="C72" s="51">
        <f t="shared" si="12"/>
        <v>60.49</v>
      </c>
      <c r="D72" s="51">
        <f t="shared" si="12"/>
        <v>49.46</v>
      </c>
      <c r="H72" s="19"/>
      <c r="I72" s="19"/>
      <c r="N72" s="38"/>
      <c r="O72" s="50"/>
      <c r="W72" s="47"/>
    </row>
    <row r="73" spans="1:23" ht="13.15" x14ac:dyDescent="0.4">
      <c r="A73" s="14"/>
      <c r="B73" s="21" t="s">
        <v>24</v>
      </c>
      <c r="C73" s="51">
        <f t="shared" si="12"/>
        <v>74.23</v>
      </c>
      <c r="D73" s="51">
        <f t="shared" si="12"/>
        <v>62.03</v>
      </c>
      <c r="H73" s="19"/>
      <c r="I73" s="19"/>
      <c r="O73" s="48"/>
      <c r="P73" s="36"/>
      <c r="Q73" s="37" t="s">
        <v>37</v>
      </c>
      <c r="R73" s="36"/>
      <c r="S73" s="52">
        <f>SUM(D44:D48,D53:D55)</f>
        <v>196.14260799999465</v>
      </c>
      <c r="T73" s="36"/>
      <c r="U73" s="52"/>
      <c r="V73" s="36">
        <f>V62</f>
        <v>418285</v>
      </c>
      <c r="W73" s="47"/>
    </row>
    <row r="74" spans="1:23" ht="13.15" x14ac:dyDescent="0.4">
      <c r="A74" s="14"/>
      <c r="B74" s="21"/>
      <c r="C74" s="51"/>
      <c r="D74" s="51"/>
      <c r="G74" s="27"/>
      <c r="M74" s="19"/>
      <c r="N74" s="19"/>
      <c r="O74" s="48"/>
      <c r="P74" s="36"/>
      <c r="Q74" s="37" t="s">
        <v>38</v>
      </c>
      <c r="S74" s="52">
        <f>SUMPRODUCT(D8:D12,D44:D48)+SUMPRODUCT(D17:D19,D53:D55)</f>
        <v>104.00741427023368</v>
      </c>
      <c r="T74" s="3">
        <f>S74/S73</f>
        <v>0.53026425686272372</v>
      </c>
      <c r="U74" s="52"/>
      <c r="V74" s="36">
        <f>SUMPRODUCT(C8:C12,C44:C48)+SUMPRODUCT(C17:C19,C53:C55)</f>
        <v>343024.81305608741</v>
      </c>
      <c r="W74" s="47"/>
    </row>
    <row r="75" spans="1:23" x14ac:dyDescent="0.35">
      <c r="A75" s="14"/>
      <c r="B75" s="21"/>
      <c r="C75" s="51"/>
      <c r="D75" s="51"/>
      <c r="I75" s="27"/>
      <c r="O75" s="48"/>
      <c r="P75" s="36"/>
      <c r="Q75" s="37" t="s">
        <v>39</v>
      </c>
      <c r="S75" s="52">
        <f>SUMPRODUCT(M8:M12,D44:D48)+SUMPRODUCT(M17:M19,D53:D55)</f>
        <v>92.135193729760971</v>
      </c>
      <c r="U75" s="52"/>
      <c r="V75" s="36">
        <f>V73-V74</f>
        <v>75260.186943912588</v>
      </c>
      <c r="W75" s="47"/>
    </row>
    <row r="76" spans="1:23" ht="13.15" x14ac:dyDescent="0.4">
      <c r="A76" s="54" t="s">
        <v>52</v>
      </c>
      <c r="B76" s="32" t="s">
        <v>53</v>
      </c>
      <c r="C76" s="35" t="str">
        <f t="shared" ref="C76:H76" si="13">+C6</f>
        <v>SC1</v>
      </c>
      <c r="D76" s="35" t="str">
        <f t="shared" si="13"/>
        <v>SC3</v>
      </c>
      <c r="E76" s="35" t="str">
        <f t="shared" si="13"/>
        <v>SC2 ND</v>
      </c>
      <c r="F76" s="35" t="str">
        <f t="shared" si="13"/>
        <v>SC4</v>
      </c>
      <c r="G76" s="35" t="str">
        <f t="shared" si="13"/>
        <v>SC6</v>
      </c>
      <c r="H76" s="35" t="str">
        <f t="shared" si="13"/>
        <v>SC2 Dem</v>
      </c>
      <c r="J76" s="19"/>
      <c r="N76" s="38"/>
      <c r="O76" s="50"/>
      <c r="W76" s="47"/>
    </row>
    <row r="77" spans="1:23" ht="13.15" x14ac:dyDescent="0.4">
      <c r="A77" s="14"/>
      <c r="C77" s="55"/>
      <c r="D77" s="55"/>
      <c r="E77" s="55"/>
      <c r="N77" s="38"/>
      <c r="O77" s="48"/>
      <c r="P77" s="19"/>
      <c r="Q77" s="37" t="s">
        <v>40</v>
      </c>
      <c r="R77" s="19"/>
      <c r="S77" s="52">
        <f>+SUM(D49:D52)</f>
        <v>119.05706366668164</v>
      </c>
      <c r="T77" s="19"/>
      <c r="U77" s="52"/>
      <c r="V77" s="56">
        <f>V66</f>
        <v>329626.5</v>
      </c>
      <c r="W77" s="47"/>
    </row>
    <row r="78" spans="1:23" ht="13.15" x14ac:dyDescent="0.4">
      <c r="A78" s="14"/>
      <c r="B78" s="3" t="s">
        <v>54</v>
      </c>
      <c r="C78" s="53">
        <v>1.0867414323869102</v>
      </c>
      <c r="D78" s="53">
        <v>1.0867414323869102</v>
      </c>
      <c r="E78" s="53">
        <v>1.0867414323869102</v>
      </c>
      <c r="F78" s="53">
        <v>1.0829575067423649</v>
      </c>
      <c r="G78" s="53">
        <v>1.0829575067423649</v>
      </c>
      <c r="H78" s="53">
        <v>1.0867414323869102</v>
      </c>
      <c r="I78" s="53"/>
      <c r="J78" s="57"/>
      <c r="N78" s="38"/>
      <c r="O78" s="48"/>
      <c r="P78" s="36"/>
      <c r="Q78" s="37" t="s">
        <v>38</v>
      </c>
      <c r="S78" s="52">
        <f>+SUMPRODUCT(D13:D16,D49:D52)</f>
        <v>67.498390101466384</v>
      </c>
      <c r="T78" s="3">
        <f>S78/S77</f>
        <v>0.56694149866183829</v>
      </c>
      <c r="U78" s="52"/>
      <c r="V78" s="56">
        <f>+SUMPRODUCT(C12:C15,C49:C52)</f>
        <v>296022.71647761425</v>
      </c>
      <c r="W78" s="47"/>
    </row>
    <row r="79" spans="1:23" x14ac:dyDescent="0.35">
      <c r="A79" s="14"/>
      <c r="I79" s="53"/>
      <c r="J79" s="53"/>
      <c r="O79" s="48"/>
      <c r="P79" s="36"/>
      <c r="Q79" s="37" t="s">
        <v>39</v>
      </c>
      <c r="S79" s="52">
        <f>SUMPRODUCT(M13:M16,D49:D52)</f>
        <v>51.558673565215258</v>
      </c>
      <c r="U79" s="52"/>
      <c r="V79" s="36">
        <f>V77-V78</f>
        <v>33603.783522385755</v>
      </c>
      <c r="W79" s="47"/>
    </row>
    <row r="80" spans="1:23" x14ac:dyDescent="0.35">
      <c r="A80" s="14"/>
      <c r="B80" s="3" t="s">
        <v>55</v>
      </c>
      <c r="C80" s="53"/>
      <c r="I80" s="53"/>
      <c r="J80" s="53"/>
      <c r="O80" s="48"/>
      <c r="P80" s="36"/>
      <c r="Q80" s="37"/>
      <c r="S80" s="52"/>
      <c r="U80" s="52"/>
      <c r="W80" s="47"/>
    </row>
    <row r="81" spans="1:23" x14ac:dyDescent="0.35">
      <c r="A81" s="14"/>
      <c r="B81" s="3" t="s">
        <v>56</v>
      </c>
      <c r="C81" s="53">
        <v>1.076782165301982</v>
      </c>
      <c r="D81" s="53">
        <v>1.076782165301982</v>
      </c>
      <c r="E81" s="53">
        <v>1.076782165301982</v>
      </c>
      <c r="F81" s="53">
        <v>1.0730329168354669</v>
      </c>
      <c r="G81" s="53">
        <v>1.0662287066659542</v>
      </c>
      <c r="H81" s="53">
        <v>1.076782165301982</v>
      </c>
      <c r="I81" s="53"/>
      <c r="J81" s="53"/>
      <c r="O81" s="48"/>
      <c r="P81" s="36"/>
      <c r="Q81" s="37"/>
      <c r="S81" s="52"/>
      <c r="U81" s="52"/>
      <c r="W81" s="47"/>
    </row>
    <row r="82" spans="1:23" ht="13.15" x14ac:dyDescent="0.4">
      <c r="A82" s="14"/>
      <c r="N82" s="38"/>
      <c r="O82" s="46"/>
      <c r="W82" s="47"/>
    </row>
    <row r="83" spans="1:23" ht="13.15" x14ac:dyDescent="0.4">
      <c r="A83" s="54" t="s">
        <v>57</v>
      </c>
      <c r="B83" s="33" t="s">
        <v>58</v>
      </c>
      <c r="N83" s="38"/>
      <c r="O83" s="48"/>
      <c r="P83" s="3" t="s">
        <v>59</v>
      </c>
      <c r="W83" s="47"/>
    </row>
    <row r="84" spans="1:23" ht="13.15" x14ac:dyDescent="0.4">
      <c r="A84" s="14"/>
      <c r="B84" s="8" t="s">
        <v>60</v>
      </c>
      <c r="N84" s="38"/>
      <c r="O84" s="50"/>
      <c r="P84" s="19"/>
      <c r="Q84" s="19"/>
      <c r="R84" s="19"/>
      <c r="S84" s="19" t="str">
        <f>S60</f>
        <v>SC3</v>
      </c>
      <c r="T84" s="19"/>
      <c r="U84" s="19"/>
      <c r="V84" s="19"/>
      <c r="W84" s="47"/>
    </row>
    <row r="85" spans="1:23" x14ac:dyDescent="0.35">
      <c r="A85" s="14"/>
      <c r="B85" s="12" t="s">
        <v>61</v>
      </c>
      <c r="O85" s="48"/>
      <c r="W85" s="47"/>
    </row>
    <row r="86" spans="1:23" ht="13.15" x14ac:dyDescent="0.4">
      <c r="A86" s="14"/>
      <c r="B86" s="33"/>
      <c r="C86" s="35" t="str">
        <f t="shared" ref="C86:H86" si="14">+C6</f>
        <v>SC1</v>
      </c>
      <c r="D86" s="35" t="str">
        <f t="shared" si="14"/>
        <v>SC3</v>
      </c>
      <c r="E86" s="35" t="str">
        <f t="shared" si="14"/>
        <v>SC2 ND</v>
      </c>
      <c r="F86" s="35" t="str">
        <f t="shared" si="14"/>
        <v>SC4</v>
      </c>
      <c r="G86" s="35" t="str">
        <f t="shared" si="14"/>
        <v>SC6</v>
      </c>
      <c r="H86" s="35" t="str">
        <f t="shared" si="14"/>
        <v>SC2 Dem</v>
      </c>
      <c r="I86" s="19"/>
      <c r="J86" s="19"/>
      <c r="O86" s="48"/>
      <c r="P86" s="36"/>
      <c r="Q86" s="37" t="s">
        <v>62</v>
      </c>
      <c r="R86" s="36"/>
      <c r="S86" s="36"/>
      <c r="T86" s="36"/>
      <c r="U86" s="36"/>
      <c r="V86" s="36"/>
      <c r="W86" s="47"/>
    </row>
    <row r="87" spans="1:23" x14ac:dyDescent="0.35">
      <c r="A87" s="14"/>
      <c r="O87" s="48"/>
      <c r="P87" s="36"/>
      <c r="Q87" s="39" t="s">
        <v>63</v>
      </c>
      <c r="S87" s="36">
        <f>S74-S63</f>
        <v>31.737792758235983</v>
      </c>
      <c r="U87" s="36"/>
      <c r="V87" s="56">
        <f>V74-V63</f>
        <v>241302.16940229092</v>
      </c>
      <c r="W87" s="47"/>
    </row>
    <row r="88" spans="1:23" x14ac:dyDescent="0.35">
      <c r="A88" s="14"/>
      <c r="B88" s="21" t="s">
        <v>64</v>
      </c>
      <c r="C88" s="58">
        <f t="shared" ref="C88:H88" si="15">(SUMPRODUCT(C13:C16,C49:C52,$C67:$C70)*C78+SUMPRODUCT(L13:L16,C49:C52,$D67:$D70)*C78)/SUM(C49:C52)</f>
        <v>69.203081931294136</v>
      </c>
      <c r="D88" s="58">
        <f t="shared" si="15"/>
        <v>59.28620059596188</v>
      </c>
      <c r="E88" s="58">
        <f t="shared" si="15"/>
        <v>57.372607837920647</v>
      </c>
      <c r="F88" s="58">
        <f t="shared" si="15"/>
        <v>58.603187321464112</v>
      </c>
      <c r="G88" s="58">
        <f t="shared" si="15"/>
        <v>58.263294313480969</v>
      </c>
      <c r="H88" s="58">
        <f t="shared" si="15"/>
        <v>60.484687786731584</v>
      </c>
      <c r="I88" s="58"/>
      <c r="J88" s="58"/>
      <c r="O88" s="50"/>
      <c r="P88" s="36"/>
      <c r="Q88" s="37" t="s">
        <v>65</v>
      </c>
      <c r="S88" s="59">
        <f>S87*(D93-D94)</f>
        <v>400.16105728180662</v>
      </c>
      <c r="U88" s="59"/>
      <c r="V88" s="56">
        <f>V87*(C93-C94)</f>
        <v>2987573.4951557554</v>
      </c>
      <c r="W88" s="47"/>
    </row>
    <row r="89" spans="1:23" x14ac:dyDescent="0.35">
      <c r="A89" s="14"/>
      <c r="B89" s="60" t="s">
        <v>66</v>
      </c>
      <c r="C89" s="58">
        <f t="shared" ref="C89:H89" si="16">(SUMPRODUCT(C13:C16,C49:C52,$C67:$C70)*C78)/SUMPRODUCT(C13:C16,C49:C52)</f>
        <v>72.13633665401052</v>
      </c>
      <c r="D89" s="58">
        <f t="shared" si="16"/>
        <v>71.552143015405633</v>
      </c>
      <c r="E89" s="58">
        <f t="shared" si="16"/>
        <v>71.340490372706427</v>
      </c>
      <c r="F89" s="58">
        <f t="shared" si="16"/>
        <v>70.60249214312833</v>
      </c>
      <c r="G89" s="58">
        <f t="shared" si="16"/>
        <v>70.177001250258542</v>
      </c>
      <c r="H89" s="58">
        <f t="shared" si="16"/>
        <v>71.497818265080895</v>
      </c>
      <c r="I89" s="58"/>
      <c r="J89" s="58"/>
      <c r="O89" s="48"/>
      <c r="Q89" s="37" t="s">
        <v>67</v>
      </c>
      <c r="S89" s="61">
        <f>ROUND(S88/S73,2)</f>
        <v>2.04</v>
      </c>
      <c r="U89" s="61"/>
      <c r="V89" s="61">
        <f>ROUND(V88/V73,2)</f>
        <v>7.14</v>
      </c>
      <c r="W89" s="47"/>
    </row>
    <row r="90" spans="1:23" ht="13.15" x14ac:dyDescent="0.4">
      <c r="A90" s="14"/>
      <c r="B90" s="60" t="s">
        <v>68</v>
      </c>
      <c r="C90" s="58">
        <f t="shared" ref="C90:H90" si="17">(SUMPRODUCT(L13:L16,C49:C52,$D67:$D70)*C78)/SUMPRODUCT(L13:L16,C49:C52)</f>
        <v>42.426886092562242</v>
      </c>
      <c r="D90" s="58">
        <f t="shared" si="17"/>
        <v>43.228158192242759</v>
      </c>
      <c r="E90" s="58">
        <f t="shared" si="17"/>
        <v>43.695242215515748</v>
      </c>
      <c r="F90" s="58">
        <f t="shared" si="17"/>
        <v>42.624714071237229</v>
      </c>
      <c r="G90" s="58">
        <f t="shared" si="17"/>
        <v>42.407351916200284</v>
      </c>
      <c r="H90" s="58">
        <f t="shared" si="17"/>
        <v>43.247986152075512</v>
      </c>
      <c r="I90" s="58"/>
      <c r="J90" s="58"/>
      <c r="O90" s="48"/>
      <c r="P90" s="19"/>
      <c r="V90" s="19"/>
      <c r="W90" s="47"/>
    </row>
    <row r="91" spans="1:23" ht="13.15" x14ac:dyDescent="0.4">
      <c r="A91" s="14"/>
      <c r="C91" s="62"/>
      <c r="D91" s="62"/>
      <c r="E91" s="62"/>
      <c r="F91" s="62"/>
      <c r="G91" s="62"/>
      <c r="H91" s="62"/>
      <c r="I91" s="62"/>
      <c r="J91" s="62"/>
      <c r="O91" s="48"/>
      <c r="P91" s="36"/>
      <c r="Q91" s="37" t="s">
        <v>69</v>
      </c>
      <c r="R91" s="19"/>
      <c r="S91" s="63"/>
      <c r="T91" s="19"/>
      <c r="U91" s="63"/>
      <c r="W91" s="47"/>
    </row>
    <row r="92" spans="1:23" x14ac:dyDescent="0.35">
      <c r="A92" s="14"/>
      <c r="B92" s="21" t="s">
        <v>70</v>
      </c>
      <c r="C92" s="58">
        <f t="shared" ref="C92:H92" si="18">(SUMPRODUCT(C8:C12,C44:C48,$C62:$C66)*C78+SUMPRODUCT(L8:L12,C44:C48,$D62:$D66)*C78+SUMPRODUCT(C17:C19,C53:C55,$C71:$C73)*C78+SUMPRODUCT(L17:L19,C53:C55,$D71:$D73)*C78)/SUM(C44:C48,C53:C55)</f>
        <v>72.802314536390483</v>
      </c>
      <c r="D92" s="58">
        <f t="shared" si="18"/>
        <v>68.899159371730107</v>
      </c>
      <c r="E92" s="58">
        <f t="shared" si="18"/>
        <v>70.550349124074629</v>
      </c>
      <c r="F92" s="58">
        <f t="shared" si="18"/>
        <v>68.788514022942337</v>
      </c>
      <c r="G92" s="58">
        <f t="shared" si="18"/>
        <v>67.754523969689146</v>
      </c>
      <c r="H92" s="58">
        <f t="shared" si="18"/>
        <v>68.878463792169896</v>
      </c>
      <c r="I92" s="58"/>
      <c r="J92" s="58"/>
      <c r="O92" s="48"/>
      <c r="P92" s="36"/>
      <c r="Q92" s="39" t="s">
        <v>63</v>
      </c>
      <c r="S92" s="36">
        <f>S78-S67</f>
        <v>18.102137220459376</v>
      </c>
      <c r="U92" s="36"/>
      <c r="V92" s="36">
        <f>V78-V67</f>
        <v>194368.35746215464</v>
      </c>
      <c r="W92" s="47"/>
    </row>
    <row r="93" spans="1:23" x14ac:dyDescent="0.35">
      <c r="A93" s="14"/>
      <c r="B93" s="60" t="s">
        <v>66</v>
      </c>
      <c r="C93" s="58">
        <f t="shared" ref="C93" si="19">(SUMPRODUCT(C8:C12,C44:C48,$C62:$C66)*C78+SUMPRODUCT(C17:C19,C53:C55,$C71:$C73)*C78)/(SUMPRODUCT(C8:C12,C44:C48)+SUMPRODUCT(C17:C19,C53:C55))</f>
        <v>75.029982059950186</v>
      </c>
      <c r="D93" s="58">
        <f>(SUMPRODUCT(D8:D12,D44:D48,$C62:$C66)*D78+SUMPRODUCT(D17:D19,D53:D55,$C71:$C73)*D78)/(SUMPRODUCT(D8:D12,D44:D48)+SUMPRODUCT(D17:D19,D53:D55))</f>
        <v>74.821749926427373</v>
      </c>
      <c r="E93" s="58">
        <f>(SUMPRODUCT(E8:E12,E44:E48,$C62:$C66)*E78+SUMPRODUCT(E17:E19,E53:E55,$C71:$C73)*E78)/(SUMPRODUCT(E8:E12,E44:E48)+SUMPRODUCT(E17:E19,E53:E55))</f>
        <v>77.503795908674661</v>
      </c>
      <c r="F93" s="58">
        <f>(SUMPRODUCT(F8:F12,F44:F48,$C62:$C66)*F78+SUMPRODUCT(F17:F19,F53:F55,$C71:$C73)*F78)/(SUMPRODUCT(F8:F12,F44:F48)+SUMPRODUCT(F17:F19,F53:F55))</f>
        <v>74.975404464382351</v>
      </c>
      <c r="G93" s="58">
        <f>(SUMPRODUCT(G8:G12,G44:G48,$C62:$C66)*G78+SUMPRODUCT(G17:G19,G53:G55,$C71:$C73)*G78)/(SUMPRODUCT(G8:G12,G44:G48)+SUMPRODUCT(G17:G19,G53:G55))</f>
        <v>73.858965738185219</v>
      </c>
      <c r="H93" s="58">
        <f>(SUMPRODUCT(H8:H12,H44:H48,$C62:$C66)*H78+SUMPRODUCT(H17:H19,H53:H55,$C71:$C73)*H78)/(SUMPRODUCT(H8:H12,H44:H48)+SUMPRODUCT(H17:H19,H53:H55))</f>
        <v>74.238668849503185</v>
      </c>
      <c r="I93" s="58"/>
      <c r="J93" s="58"/>
      <c r="Q93" s="37" t="s">
        <v>65</v>
      </c>
      <c r="S93" s="59">
        <f>S92*(D89-D90)</f>
        <v>512.72465989910313</v>
      </c>
      <c r="U93" s="59"/>
      <c r="V93" s="56">
        <f>V92*(C89-C90)</f>
        <v>5774577.1067317901</v>
      </c>
    </row>
    <row r="94" spans="1:23" x14ac:dyDescent="0.35">
      <c r="A94" s="14"/>
      <c r="B94" s="60" t="s">
        <v>68</v>
      </c>
      <c r="C94" s="58">
        <f t="shared" ref="C94:H94" si="20">(SUMPRODUCT(L8:L12,C44:C48,$D62:$D66)*C78+SUMPRODUCT(L17:L19,C53:C55,$D71:$D73)*C78)/(SUMPRODUCT(L8:L12,C44:C48)+SUMPRODUCT(L17:L19,C53:C55))</f>
        <v>62.648935082394949</v>
      </c>
      <c r="D94" s="58">
        <f t="shared" si="20"/>
        <v>62.213404401896071</v>
      </c>
      <c r="E94" s="58">
        <f t="shared" si="20"/>
        <v>64.517865555806395</v>
      </c>
      <c r="F94" s="58">
        <f t="shared" si="20"/>
        <v>62.453674063169693</v>
      </c>
      <c r="G94" s="58">
        <f t="shared" si="20"/>
        <v>61.492646727146813</v>
      </c>
      <c r="H94" s="58">
        <f t="shared" si="20"/>
        <v>61.643212430070733</v>
      </c>
      <c r="I94" s="58"/>
      <c r="J94" s="58"/>
      <c r="Q94" s="37" t="s">
        <v>67</v>
      </c>
      <c r="S94" s="61">
        <f>ROUND(S93/S77,2)</f>
        <v>4.3099999999999996</v>
      </c>
      <c r="U94" s="61"/>
      <c r="V94" s="61">
        <f>ROUND(V93/V77,2)</f>
        <v>17.52</v>
      </c>
    </row>
    <row r="95" spans="1:23" x14ac:dyDescent="0.35">
      <c r="A95" s="14"/>
      <c r="C95" s="62"/>
      <c r="D95" s="62"/>
      <c r="E95" s="62"/>
      <c r="F95" s="62"/>
      <c r="G95" s="62"/>
      <c r="H95" s="62"/>
      <c r="I95" s="62"/>
      <c r="J95" s="62"/>
    </row>
    <row r="96" spans="1:23" x14ac:dyDescent="0.35">
      <c r="A96" s="14"/>
      <c r="B96" s="3" t="s">
        <v>71</v>
      </c>
      <c r="C96" s="58">
        <f t="shared" ref="C96" si="21">(C88*SUM(C49:C52)+C92*SUM(C44:C48,C53:C55))/C56</f>
        <v>71.216027326869323</v>
      </c>
      <c r="D96" s="62">
        <f>(D88*SUM(D49:D52)+D92*SUM(D44:D48,D53:D55))/D56</f>
        <v>65.268157350249183</v>
      </c>
      <c r="E96" s="62">
        <f>(E88*SUM(E49:E52)+E92*SUM(E44:E48,E53:E55))/E56</f>
        <v>66.725260980828224</v>
      </c>
      <c r="F96" s="62">
        <f>(F88*SUM(F49:F52)+F92*SUM(F44:F48,F53:F55))/F56</f>
        <v>65.93642080695524</v>
      </c>
      <c r="G96" s="62">
        <f>(G88*SUM(G49:G52)+G92*SUM(G44:G48,G53:G55))/G56</f>
        <v>64.935634573938415</v>
      </c>
      <c r="H96" s="62">
        <f>(H88*SUM(H49:H52)+H92*SUM(H44:H48,H53:H55))/H56</f>
        <v>65.751645068708669</v>
      </c>
      <c r="I96" s="62"/>
      <c r="J96" s="62"/>
    </row>
    <row r="97" spans="1:11" x14ac:dyDescent="0.35">
      <c r="A97" s="14"/>
      <c r="C97" s="58"/>
      <c r="D97" s="62"/>
      <c r="E97" s="62"/>
      <c r="F97" s="62"/>
      <c r="G97" s="62"/>
      <c r="H97" s="62"/>
      <c r="I97" s="62"/>
      <c r="J97" s="62"/>
    </row>
    <row r="98" spans="1:11" x14ac:dyDescent="0.35">
      <c r="A98" s="14"/>
      <c r="B98" s="3" t="s">
        <v>72</v>
      </c>
      <c r="C98" s="58">
        <f>SUMPRODUCT(C96:H96,C56:H56)/SUM(C56:H56)</f>
        <v>69.37981313710138</v>
      </c>
      <c r="D98" s="62"/>
      <c r="E98" s="62"/>
      <c r="F98" s="62"/>
      <c r="G98" s="62"/>
      <c r="H98" s="62"/>
      <c r="I98" s="62"/>
      <c r="J98" s="62"/>
    </row>
    <row r="99" spans="1:11" x14ac:dyDescent="0.35">
      <c r="A99" s="14"/>
      <c r="C99" s="58"/>
      <c r="D99" s="62"/>
      <c r="E99" s="62"/>
      <c r="F99" s="62"/>
      <c r="G99" s="62"/>
      <c r="H99" s="62"/>
      <c r="I99" s="62"/>
      <c r="J99" s="62"/>
      <c r="K99" s="62"/>
    </row>
    <row r="100" spans="1:11" x14ac:dyDescent="0.35">
      <c r="A100" s="14"/>
      <c r="C100" s="62"/>
      <c r="D100" s="62"/>
      <c r="E100" s="62"/>
      <c r="F100" s="62"/>
      <c r="G100" s="62"/>
      <c r="H100" s="62"/>
      <c r="I100" s="62"/>
      <c r="J100" s="62"/>
      <c r="K100" s="62"/>
    </row>
    <row r="101" spans="1:11" ht="13.15" x14ac:dyDescent="0.4">
      <c r="A101" s="54" t="s">
        <v>73</v>
      </c>
      <c r="B101" s="33" t="s">
        <v>74</v>
      </c>
      <c r="C101" s="62"/>
      <c r="D101" s="62"/>
      <c r="E101" s="62"/>
      <c r="F101" s="62"/>
      <c r="G101" s="62"/>
      <c r="H101" s="62"/>
      <c r="I101" s="62"/>
      <c r="J101" s="62"/>
      <c r="K101" s="62"/>
    </row>
    <row r="102" spans="1:11" x14ac:dyDescent="0.35">
      <c r="A102" s="14"/>
      <c r="B102" s="12" t="s">
        <v>60</v>
      </c>
      <c r="C102" s="62"/>
      <c r="D102" s="62"/>
      <c r="E102" s="62"/>
      <c r="F102" s="62"/>
      <c r="G102" s="62"/>
      <c r="H102" s="62"/>
      <c r="I102" s="62"/>
      <c r="J102" s="62"/>
      <c r="K102" s="62"/>
    </row>
    <row r="103" spans="1:11" x14ac:dyDescent="0.35">
      <c r="A103" s="14"/>
      <c r="B103" s="12" t="s">
        <v>75</v>
      </c>
      <c r="C103" s="62"/>
      <c r="D103" s="62"/>
      <c r="E103" s="62"/>
      <c r="F103" s="62"/>
      <c r="G103" s="62"/>
      <c r="H103" s="62"/>
      <c r="I103" s="62"/>
      <c r="J103" s="62"/>
      <c r="K103" s="62"/>
    </row>
    <row r="104" spans="1:11" ht="13.15" x14ac:dyDescent="0.4">
      <c r="A104" s="14"/>
      <c r="B104" s="33"/>
      <c r="C104" s="35" t="str">
        <f t="shared" ref="C104:H104" si="22">+C6</f>
        <v>SC1</v>
      </c>
      <c r="D104" s="35" t="str">
        <f t="shared" si="22"/>
        <v>SC3</v>
      </c>
      <c r="E104" s="35" t="str">
        <f t="shared" si="22"/>
        <v>SC2 ND</v>
      </c>
      <c r="F104" s="35" t="str">
        <f t="shared" si="22"/>
        <v>SC4</v>
      </c>
      <c r="G104" s="35" t="str">
        <f t="shared" si="22"/>
        <v>SC6</v>
      </c>
      <c r="H104" s="35" t="str">
        <f t="shared" si="22"/>
        <v>SC2 Dem</v>
      </c>
      <c r="I104" s="19"/>
      <c r="J104" s="19"/>
    </row>
    <row r="105" spans="1:11" x14ac:dyDescent="0.35">
      <c r="A105" s="14"/>
      <c r="C105" s="63"/>
    </row>
    <row r="106" spans="1:11" x14ac:dyDescent="0.35">
      <c r="A106" s="14"/>
      <c r="B106" s="21" t="s">
        <v>64</v>
      </c>
      <c r="C106" s="64">
        <f t="shared" ref="C106" si="23">SUM(C49:C52)*C88/1000</f>
        <v>22811.169686225727</v>
      </c>
      <c r="D106" s="64">
        <f>SUM(D49:D52)*D88/1000</f>
        <v>7.0584409589090926</v>
      </c>
      <c r="E106" s="64">
        <f>SUM(E49:E52)*E88/1000</f>
        <v>200.0582835308293</v>
      </c>
      <c r="F106" s="64">
        <f>SUM(F49:F52)*F88/1000</f>
        <v>99.420307290863875</v>
      </c>
      <c r="G106" s="64">
        <f>SUM(G49:G52)*G88/1000</f>
        <v>84.77309322611481</v>
      </c>
      <c r="H106" s="64">
        <f>SUM(H49:H52)*H88/1000</f>
        <v>8057.7354267306628</v>
      </c>
      <c r="I106" s="64"/>
      <c r="J106" s="64"/>
    </row>
    <row r="107" spans="1:11" x14ac:dyDescent="0.35">
      <c r="A107" s="14"/>
      <c r="B107" s="60" t="s">
        <v>66</v>
      </c>
      <c r="C107" s="64">
        <f t="shared" ref="C107" si="24">SUMPRODUCT(C49:C52,C13:C16)*C89/1000</f>
        <v>21430.408928471807</v>
      </c>
      <c r="D107" s="64">
        <f>SUMPRODUCT(D49:D52,D13:D16)*D89/1000</f>
        <v>4.8296544618497625</v>
      </c>
      <c r="E107" s="64">
        <f>SUMPRODUCT(E49:E52,E13:E16)*E89/1000</f>
        <v>123.07504450020492</v>
      </c>
      <c r="F107" s="64">
        <f>SUMPRODUCT(F49:F52,F13:F16)*F89/1000</f>
        <v>68.406276922848491</v>
      </c>
      <c r="G107" s="64">
        <f>SUMPRODUCT(G49:G52,G13:G16)*G89/1000</f>
        <v>58.30146440296005</v>
      </c>
      <c r="H107" s="64">
        <f>SUMPRODUCT(H49:H52,H13:H16)*H89/1000</f>
        <v>5811.6391764423861</v>
      </c>
      <c r="I107" s="64"/>
      <c r="J107" s="64"/>
    </row>
    <row r="108" spans="1:11" x14ac:dyDescent="0.35">
      <c r="A108" s="14"/>
      <c r="B108" s="60" t="s">
        <v>68</v>
      </c>
      <c r="C108" s="64">
        <f t="shared" ref="C108:H108" si="25">SUMPRODUCT(C49:C52,L13:L16)*C90/1000</f>
        <v>1380.7607577539193</v>
      </c>
      <c r="D108" s="64">
        <f t="shared" si="25"/>
        <v>2.2287864970593301</v>
      </c>
      <c r="E108" s="64">
        <f t="shared" si="25"/>
        <v>76.983239030624389</v>
      </c>
      <c r="F108" s="64">
        <f t="shared" si="25"/>
        <v>31.014030368015369</v>
      </c>
      <c r="G108" s="64">
        <f t="shared" si="25"/>
        <v>26.471628823154752</v>
      </c>
      <c r="H108" s="64">
        <f t="shared" si="25"/>
        <v>2246.096250288278</v>
      </c>
      <c r="I108" s="64"/>
      <c r="J108" s="64"/>
    </row>
    <row r="109" spans="1:11" x14ac:dyDescent="0.35">
      <c r="A109" s="14"/>
      <c r="C109" s="65"/>
      <c r="D109" s="65"/>
      <c r="E109" s="65"/>
      <c r="F109" s="65"/>
      <c r="G109" s="65"/>
      <c r="H109" s="65"/>
      <c r="I109" s="65"/>
      <c r="J109" s="65"/>
    </row>
    <row r="110" spans="1:11" x14ac:dyDescent="0.35">
      <c r="A110" s="14"/>
      <c r="B110" s="21" t="s">
        <v>70</v>
      </c>
      <c r="C110" s="65">
        <f t="shared" ref="C110" si="26">SUM(C44:C48,C53:C55)*C92/1000</f>
        <v>30452.116135854092</v>
      </c>
      <c r="D110" s="65">
        <f>SUM(D44:D48,D53:D55)*D92/1000</f>
        <v>13.514060808178415</v>
      </c>
      <c r="E110" s="65">
        <f>SUM(E44:E48,E53:E55)*E92/1000</f>
        <v>601.51227663186035</v>
      </c>
      <c r="F110" s="65">
        <f>SUM(F44:F48,F53:F55)*F92/1000</f>
        <v>300.05549816807445</v>
      </c>
      <c r="G110" s="65">
        <f>SUM(G44:G48,G53:G55)*G92/1000</f>
        <v>233.34658055160943</v>
      </c>
      <c r="H110" s="65">
        <f>SUM(H44:H48,H53:H55)*H92/1000</f>
        <v>15456.391325189159</v>
      </c>
      <c r="I110" s="65"/>
      <c r="J110" s="65"/>
    </row>
    <row r="111" spans="1:11" x14ac:dyDescent="0.35">
      <c r="A111" s="14"/>
      <c r="B111" s="60" t="s">
        <v>66</v>
      </c>
      <c r="C111" s="64">
        <f t="shared" ref="C111" si="27">(SUMPRODUCT(C44:C48,C8:C12)+SUMPRODUCT(C53:C55,C17:C19))*C93/1000</f>
        <v>25737.145569716005</v>
      </c>
      <c r="D111" s="64">
        <f>(SUMPRODUCT(D44:D48,D8:D12)+SUMPRODUCT(D53:D55,D17:D19))*D93/1000</f>
        <v>7.7820167410217582</v>
      </c>
      <c r="E111" s="64">
        <f>(SUMPRODUCT(E44:E48,E8:E12)+SUMPRODUCT(E53:E55,E17:E19))*E93/1000</f>
        <v>306.96678108287989</v>
      </c>
      <c r="F111" s="64">
        <f>(SUMPRODUCT(F44:F48,F8:F12)+SUMPRODUCT(F53:F55,F17:F19))*F93/1000</f>
        <v>165.45343083991798</v>
      </c>
      <c r="G111" s="64">
        <f>(SUMPRODUCT(G44:G48,G8:G12)+SUMPRODUCT(G53:G55,G17:G19))*G93/1000</f>
        <v>128.8043316349866</v>
      </c>
      <c r="H111" s="64">
        <f>(SUMPRODUCT(H44:H48,H8:H12)+SUMPRODUCT(H53:H55,H17:H19))*H93/1000</f>
        <v>9569.6166889231881</v>
      </c>
      <c r="I111" s="64"/>
      <c r="J111" s="64"/>
    </row>
    <row r="112" spans="1:11" x14ac:dyDescent="0.35">
      <c r="A112" s="14"/>
      <c r="B112" s="60" t="s">
        <v>68</v>
      </c>
      <c r="C112" s="64">
        <f t="shared" ref="C112:H112" si="28">+(SUMPRODUCT(C44:C48,L8:L12)+SUMPRODUCT(C53:C55,L17:L19))*C94/1000</f>
        <v>4714.9705661380858</v>
      </c>
      <c r="D112" s="64">
        <f t="shared" si="28"/>
        <v>5.7320440671566582</v>
      </c>
      <c r="E112" s="64">
        <f t="shared" si="28"/>
        <v>294.54549554898034</v>
      </c>
      <c r="F112" s="64">
        <f t="shared" si="28"/>
        <v>134.60206732815652</v>
      </c>
      <c r="G112" s="64">
        <f t="shared" si="28"/>
        <v>104.54224891662282</v>
      </c>
      <c r="H112" s="64">
        <f t="shared" si="28"/>
        <v>5886.7746362659709</v>
      </c>
      <c r="I112" s="64"/>
      <c r="J112" s="64"/>
    </row>
    <row r="113" spans="1:10" x14ac:dyDescent="0.35">
      <c r="A113" s="14"/>
      <c r="C113" s="62"/>
      <c r="D113" s="62"/>
      <c r="E113" s="62"/>
      <c r="F113" s="62"/>
      <c r="G113" s="62"/>
      <c r="H113" s="62"/>
      <c r="I113" s="62"/>
      <c r="J113" s="62"/>
    </row>
    <row r="114" spans="1:10" x14ac:dyDescent="0.35">
      <c r="A114" s="14"/>
      <c r="B114" s="3" t="s">
        <v>71</v>
      </c>
      <c r="C114" s="65">
        <f>+C106+C110</f>
        <v>53263.285822079823</v>
      </c>
      <c r="D114" s="65">
        <f t="shared" ref="D114:H114" si="29">+D106+D110</f>
        <v>20.572501767087509</v>
      </c>
      <c r="E114" s="65">
        <f t="shared" si="29"/>
        <v>801.57056016268962</v>
      </c>
      <c r="F114" s="65">
        <f t="shared" si="29"/>
        <v>399.47580545893834</v>
      </c>
      <c r="G114" s="65">
        <f t="shared" si="29"/>
        <v>318.11967377772424</v>
      </c>
      <c r="H114" s="65">
        <f t="shared" si="29"/>
        <v>23514.126751919823</v>
      </c>
      <c r="I114" s="65"/>
      <c r="J114" s="65"/>
    </row>
    <row r="115" spans="1:10" x14ac:dyDescent="0.35">
      <c r="A115" s="14"/>
    </row>
    <row r="116" spans="1:10" x14ac:dyDescent="0.35">
      <c r="A116" s="14"/>
      <c r="B116" s="3" t="s">
        <v>72</v>
      </c>
      <c r="C116" s="64">
        <f>SUM(C114:H114)</f>
        <v>78317.151115166082</v>
      </c>
      <c r="D116" s="66"/>
      <c r="E116" s="58"/>
    </row>
    <row r="117" spans="1:10" x14ac:dyDescent="0.35">
      <c r="A117" s="14"/>
    </row>
    <row r="118" spans="1:10" x14ac:dyDescent="0.35">
      <c r="A118" s="14"/>
    </row>
    <row r="119" spans="1:10" ht="13.15" x14ac:dyDescent="0.4">
      <c r="A119" s="54" t="s">
        <v>76</v>
      </c>
      <c r="B119" s="13" t="s">
        <v>77</v>
      </c>
      <c r="C119" s="62"/>
    </row>
    <row r="120" spans="1:10" x14ac:dyDescent="0.35">
      <c r="A120" s="14"/>
      <c r="B120" s="8" t="s">
        <v>78</v>
      </c>
      <c r="C120" s="62"/>
    </row>
    <row r="121" spans="1:10" x14ac:dyDescent="0.35">
      <c r="A121" s="14"/>
      <c r="B121" s="12"/>
      <c r="C121" s="62"/>
    </row>
    <row r="122" spans="1:10" ht="13.15" x14ac:dyDescent="0.4">
      <c r="A122" s="14"/>
      <c r="B122" s="33"/>
      <c r="C122" s="35" t="str">
        <f t="shared" ref="C122:H122" si="30">+C6</f>
        <v>SC1</v>
      </c>
      <c r="D122" s="35" t="str">
        <f t="shared" si="30"/>
        <v>SC3</v>
      </c>
      <c r="E122" s="35" t="str">
        <f t="shared" si="30"/>
        <v>SC2 ND</v>
      </c>
      <c r="F122" s="35" t="str">
        <f t="shared" si="30"/>
        <v>SC4</v>
      </c>
      <c r="G122" s="35" t="str">
        <f t="shared" si="30"/>
        <v>SC6</v>
      </c>
      <c r="H122" s="35" t="str">
        <f t="shared" si="30"/>
        <v>SC2 Dem</v>
      </c>
      <c r="I122" s="35" t="str">
        <f>$I$24</f>
        <v>SC1 TOD</v>
      </c>
      <c r="J122" s="19"/>
    </row>
    <row r="123" spans="1:10" x14ac:dyDescent="0.35">
      <c r="A123" s="14"/>
      <c r="C123" s="63"/>
    </row>
    <row r="124" spans="1:10" x14ac:dyDescent="0.35">
      <c r="A124" s="14"/>
      <c r="B124" s="21" t="s">
        <v>64</v>
      </c>
      <c r="C124" s="58">
        <f t="shared" ref="C124" si="31">+C106/SUM(C49:C52)*1000</f>
        <v>69.203081931294136</v>
      </c>
      <c r="D124" s="58">
        <f>+D106/SUM(D49:D52)*1000</f>
        <v>59.28620059596188</v>
      </c>
      <c r="E124" s="58">
        <f>+E106/SUM(E49:E52)*1000</f>
        <v>57.372607837920647</v>
      </c>
      <c r="F124" s="58">
        <f>+F106/SUM(F49:F52)*1000</f>
        <v>58.603187321464119</v>
      </c>
      <c r="G124" s="58">
        <f>+G106/SUM(G49:G52)*1000</f>
        <v>58.263294313480969</v>
      </c>
      <c r="H124" s="58">
        <f>+H106/SUM(H49:H52)*1000</f>
        <v>60.484687786731584</v>
      </c>
      <c r="I124" s="58">
        <f>+C106/SUM(C49:C52)*1000</f>
        <v>69.203081931294136</v>
      </c>
      <c r="J124" s="58"/>
    </row>
    <row r="125" spans="1:10" x14ac:dyDescent="0.35">
      <c r="A125" s="14"/>
      <c r="B125" s="60" t="s">
        <v>79</v>
      </c>
      <c r="C125" s="64"/>
      <c r="D125" s="58">
        <f>D89+S94</f>
        <v>75.862143015405636</v>
      </c>
      <c r="E125" s="64"/>
      <c r="F125" s="64"/>
      <c r="G125" s="64"/>
      <c r="H125" s="64"/>
      <c r="I125" s="58">
        <f>C89+V94</f>
        <v>89.656336654010516</v>
      </c>
      <c r="J125" s="58"/>
    </row>
    <row r="126" spans="1:10" x14ac:dyDescent="0.35">
      <c r="A126" s="14"/>
      <c r="B126" s="60" t="s">
        <v>80</v>
      </c>
      <c r="C126" s="64"/>
      <c r="D126" s="58">
        <f>D90+S94</f>
        <v>47.538158192242761</v>
      </c>
      <c r="E126" s="64"/>
      <c r="F126" s="64"/>
      <c r="G126" s="64"/>
      <c r="H126" s="64"/>
      <c r="I126" s="58">
        <f>C90+V94</f>
        <v>59.946886092562238</v>
      </c>
      <c r="J126" s="58"/>
    </row>
    <row r="127" spans="1:10" x14ac:dyDescent="0.35">
      <c r="A127" s="14"/>
      <c r="C127" s="65"/>
      <c r="D127" s="65"/>
      <c r="E127" s="65"/>
      <c r="F127" s="65"/>
      <c r="G127" s="65"/>
      <c r="H127" s="65"/>
      <c r="I127" s="65"/>
      <c r="J127" s="65"/>
    </row>
    <row r="128" spans="1:10" x14ac:dyDescent="0.35">
      <c r="A128" s="14"/>
      <c r="B128" s="21" t="s">
        <v>70</v>
      </c>
      <c r="C128" s="62">
        <f t="shared" ref="C128" si="32">+C110/SUM(C44:C48,C53:C55)*1000</f>
        <v>72.802314536390483</v>
      </c>
      <c r="D128" s="62">
        <f>+D110/SUM(D44:D48,D53:D55)*1000</f>
        <v>68.899159371730107</v>
      </c>
      <c r="E128" s="62">
        <f>+E110/SUM(E44:E48,E53:E55)*1000</f>
        <v>70.550349124074643</v>
      </c>
      <c r="F128" s="62">
        <f>+F110/SUM(F44:F48,F53:F55)*1000</f>
        <v>68.788514022942337</v>
      </c>
      <c r="G128" s="62">
        <f>+G110/SUM(G44:G48,G53:G55)*1000</f>
        <v>67.754523969689146</v>
      </c>
      <c r="H128" s="62">
        <f>+H110/SUM(H44:H48,H53:H55)*1000</f>
        <v>68.878463792169896</v>
      </c>
      <c r="I128" s="62">
        <f>C128</f>
        <v>72.802314536390483</v>
      </c>
      <c r="J128" s="62"/>
    </row>
    <row r="129" spans="1:30" x14ac:dyDescent="0.35">
      <c r="A129" s="14"/>
      <c r="B129" s="60" t="s">
        <v>79</v>
      </c>
      <c r="C129" s="64"/>
      <c r="D129" s="58">
        <f>D93+S89</f>
        <v>76.861749926427379</v>
      </c>
      <c r="E129" s="64"/>
      <c r="F129" s="64"/>
      <c r="G129" s="64"/>
      <c r="H129" s="64"/>
      <c r="I129" s="58">
        <f>C93+V89</f>
        <v>82.169982059950186</v>
      </c>
      <c r="J129" s="58"/>
    </row>
    <row r="130" spans="1:30" x14ac:dyDescent="0.35">
      <c r="A130" s="14"/>
      <c r="B130" s="60" t="s">
        <v>80</v>
      </c>
      <c r="C130" s="64"/>
      <c r="D130" s="58">
        <f>D94+S89</f>
        <v>64.253404401896077</v>
      </c>
      <c r="E130" s="64"/>
      <c r="F130" s="64"/>
      <c r="G130" s="64"/>
      <c r="H130" s="64"/>
      <c r="I130" s="58">
        <f>C94+V89</f>
        <v>69.788935082394943</v>
      </c>
      <c r="J130" s="58"/>
    </row>
    <row r="131" spans="1:30" x14ac:dyDescent="0.35">
      <c r="A131" s="14"/>
      <c r="C131" s="62"/>
      <c r="D131" s="62"/>
      <c r="E131" s="62"/>
      <c r="F131" s="62"/>
      <c r="G131" s="62"/>
      <c r="H131" s="62"/>
      <c r="I131" s="62"/>
      <c r="J131" s="62"/>
    </row>
    <row r="132" spans="1:30" x14ac:dyDescent="0.35">
      <c r="A132" s="14"/>
      <c r="B132" s="3" t="s">
        <v>81</v>
      </c>
      <c r="C132" s="58">
        <f t="shared" ref="C132:H132" si="33">(C124*SUM(C49:C52)+C128*SUM(C44:C48,C53:C55))/C56</f>
        <v>71.216027326869323</v>
      </c>
      <c r="D132" s="58">
        <f t="shared" si="33"/>
        <v>65.268157350249183</v>
      </c>
      <c r="E132" s="58">
        <f t="shared" si="33"/>
        <v>66.725260980828253</v>
      </c>
      <c r="F132" s="58">
        <f t="shared" si="33"/>
        <v>65.93642080695524</v>
      </c>
      <c r="G132" s="58">
        <f t="shared" si="33"/>
        <v>64.935634573938415</v>
      </c>
      <c r="H132" s="58">
        <f t="shared" si="33"/>
        <v>65.751645068708669</v>
      </c>
      <c r="I132" s="58">
        <f>(I124*SUM(C49:C52)+I128*SUM(C44:C48,C53:C55))/C56</f>
        <v>71.216027326869323</v>
      </c>
      <c r="J132" s="58"/>
    </row>
    <row r="133" spans="1:30" x14ac:dyDescent="0.35">
      <c r="A133" s="14"/>
      <c r="B133" s="3" t="s">
        <v>82</v>
      </c>
      <c r="C133" s="58">
        <f>+C116/SUM(C56:H56)*1000</f>
        <v>69.37981313710138</v>
      </c>
    </row>
    <row r="134" spans="1:30" x14ac:dyDescent="0.35">
      <c r="A134" s="14"/>
    </row>
    <row r="135" spans="1:30" ht="13.15" x14ac:dyDescent="0.4">
      <c r="A135" s="54" t="s">
        <v>83</v>
      </c>
      <c r="B135" s="13" t="s">
        <v>84</v>
      </c>
    </row>
    <row r="136" spans="1:30" x14ac:dyDescent="0.35">
      <c r="A136" s="14"/>
      <c r="B136" s="8" t="str">
        <f>"Obligations - annual average forecasted for " &amp;M1-1 &amp;"; costs are market estimates"</f>
        <v>Obligations - annual average forecasted for 2026; costs are market estimates</v>
      </c>
      <c r="L136" s="67"/>
    </row>
    <row r="137" spans="1:30" ht="13.15" x14ac:dyDescent="0.4">
      <c r="A137" s="14"/>
      <c r="B137" s="12" t="s">
        <v>85</v>
      </c>
      <c r="C137" s="35" t="str">
        <f t="shared" ref="C137:H137" si="34">+C6</f>
        <v>SC1</v>
      </c>
      <c r="D137" s="35" t="str">
        <f t="shared" si="34"/>
        <v>SC3</v>
      </c>
      <c r="E137" s="35" t="str">
        <f t="shared" si="34"/>
        <v>SC2 ND</v>
      </c>
      <c r="F137" s="35" t="str">
        <f t="shared" si="34"/>
        <v>SC4</v>
      </c>
      <c r="G137" s="35" t="str">
        <f t="shared" si="34"/>
        <v>SC6</v>
      </c>
      <c r="H137" s="35" t="str">
        <f t="shared" si="34"/>
        <v>SC2 Dem</v>
      </c>
      <c r="I137" s="35" t="s">
        <v>86</v>
      </c>
      <c r="J137" s="19"/>
      <c r="L137" s="67"/>
      <c r="X137" s="3" t="s">
        <v>7</v>
      </c>
      <c r="Y137" s="3" t="s">
        <v>8</v>
      </c>
      <c r="Z137" s="3" t="s">
        <v>9</v>
      </c>
      <c r="AA137" s="3" t="s">
        <v>10</v>
      </c>
      <c r="AB137" s="3" t="s">
        <v>11</v>
      </c>
      <c r="AC137" s="3" t="s">
        <v>12</v>
      </c>
      <c r="AD137" s="3" t="s">
        <v>86</v>
      </c>
    </row>
    <row r="138" spans="1:30" x14ac:dyDescent="0.35">
      <c r="A138" s="14"/>
      <c r="W138" s="3" t="s">
        <v>87</v>
      </c>
      <c r="X138" s="3">
        <v>304.56099999999998</v>
      </c>
      <c r="Y138" s="3">
        <v>7.0999999999999994E-2</v>
      </c>
      <c r="Z138" s="3">
        <v>2.42</v>
      </c>
      <c r="AA138" s="3">
        <v>0</v>
      </c>
      <c r="AB138" s="3">
        <v>0</v>
      </c>
      <c r="AC138" s="3">
        <v>89.212999999999994</v>
      </c>
      <c r="AD138" s="3">
        <f>SUM(X138:AC138)</f>
        <v>396.26499999999999</v>
      </c>
    </row>
    <row r="139" spans="1:30" x14ac:dyDescent="0.35">
      <c r="A139" s="14"/>
      <c r="B139" s="3" t="s">
        <v>87</v>
      </c>
      <c r="C139" s="68">
        <f>ROUND(X138*W143*W144,3)</f>
        <v>277.96499999999997</v>
      </c>
      <c r="D139" s="68">
        <f>ROUND(Y138*W143*W144,3)</f>
        <v>6.5000000000000002E-2</v>
      </c>
      <c r="E139" s="68">
        <f>ROUND(Z138*W143*W144,3)</f>
        <v>2.2090000000000001</v>
      </c>
      <c r="F139" s="69">
        <v>0</v>
      </c>
      <c r="G139" s="69">
        <v>0</v>
      </c>
      <c r="H139" s="68">
        <f>ROUND(AC138*W143*W144,3)</f>
        <v>81.421999999999997</v>
      </c>
      <c r="I139" s="68">
        <f>SUM(C139:H139)</f>
        <v>361.66099999999994</v>
      </c>
      <c r="K139" s="68"/>
      <c r="L139" s="68"/>
      <c r="N139" s="68"/>
      <c r="O139" s="68"/>
      <c r="P139" s="68"/>
      <c r="Q139" s="68"/>
      <c r="R139" s="51"/>
      <c r="S139" s="51"/>
      <c r="T139" s="51"/>
      <c r="U139" s="51"/>
    </row>
    <row r="140" spans="1:30" ht="13.15" x14ac:dyDescent="0.4">
      <c r="A140" s="14"/>
      <c r="C140" s="68"/>
      <c r="D140" s="68"/>
      <c r="E140" s="68"/>
      <c r="F140" s="68"/>
      <c r="G140" s="68"/>
      <c r="H140" s="68"/>
      <c r="I140" s="68"/>
      <c r="M140" s="70"/>
      <c r="W140" s="3" t="s">
        <v>88</v>
      </c>
      <c r="X140" s="3">
        <v>305.28100000000001</v>
      </c>
      <c r="Y140" s="3">
        <v>0.13700000000000001</v>
      </c>
      <c r="Z140" s="3">
        <v>3.1110000000000002</v>
      </c>
      <c r="AA140" s="3">
        <v>0</v>
      </c>
      <c r="AB140" s="3">
        <v>0</v>
      </c>
      <c r="AC140" s="3">
        <v>89.141000000000005</v>
      </c>
      <c r="AD140" s="3">
        <f>SUM(X140:AC140)</f>
        <v>397.67</v>
      </c>
    </row>
    <row r="141" spans="1:30" x14ac:dyDescent="0.35">
      <c r="A141" s="14"/>
      <c r="B141" s="3" t="s">
        <v>88</v>
      </c>
      <c r="C141" s="68">
        <v>305.28100000000001</v>
      </c>
      <c r="D141" s="68">
        <v>0.13700000000000001</v>
      </c>
      <c r="E141" s="68">
        <v>3.1110000000000002</v>
      </c>
      <c r="F141" s="69">
        <v>0</v>
      </c>
      <c r="G141" s="69">
        <v>0</v>
      </c>
      <c r="H141" s="68">
        <v>89.141000000000005</v>
      </c>
      <c r="I141" s="68">
        <f>SUM(C141:H141)</f>
        <v>397.67</v>
      </c>
      <c r="K141" s="68"/>
      <c r="L141" s="68"/>
      <c r="P141" s="68"/>
      <c r="Q141" s="68"/>
      <c r="R141" s="51"/>
      <c r="S141" s="51"/>
      <c r="T141" s="51"/>
      <c r="U141" s="51"/>
    </row>
    <row r="142" spans="1:30" ht="13.15" x14ac:dyDescent="0.4">
      <c r="A142" s="14"/>
      <c r="C142" s="69"/>
      <c r="D142" s="69"/>
      <c r="E142" s="69"/>
      <c r="F142" s="69"/>
      <c r="G142" s="69"/>
      <c r="H142" s="69"/>
      <c r="I142" s="69"/>
      <c r="M142" s="70"/>
    </row>
    <row r="143" spans="1:30" x14ac:dyDescent="0.35">
      <c r="A143" s="14"/>
      <c r="B143" s="3" t="s">
        <v>89</v>
      </c>
      <c r="F143" s="69"/>
      <c r="G143" s="69"/>
      <c r="H143" s="69"/>
      <c r="I143" s="71"/>
      <c r="M143" s="69"/>
      <c r="V143" s="3" t="s">
        <v>90</v>
      </c>
      <c r="W143" s="3">
        <v>0.92910000000000004</v>
      </c>
    </row>
    <row r="144" spans="1:30" x14ac:dyDescent="0.35">
      <c r="A144" s="14"/>
      <c r="D144" s="37" t="s">
        <v>91</v>
      </c>
      <c r="E144" s="72">
        <f>(DATE($M$1,10,1))-(DATE($M$1,6,1))</f>
        <v>122</v>
      </c>
      <c r="G144" s="37" t="s">
        <v>92</v>
      </c>
      <c r="H144" s="3">
        <v>4</v>
      </c>
      <c r="I144" s="69"/>
      <c r="K144" s="73"/>
      <c r="L144" s="74"/>
      <c r="M144" s="69"/>
      <c r="V144" s="3" t="s">
        <v>93</v>
      </c>
      <c r="W144" s="3">
        <v>0.9823205813731446</v>
      </c>
    </row>
    <row r="145" spans="1:13" x14ac:dyDescent="0.35">
      <c r="A145" s="14"/>
      <c r="D145" s="39" t="s">
        <v>94</v>
      </c>
      <c r="E145" s="72">
        <f>(DATE($M$1+1,6,1))-(DATE($M$1,10,1))</f>
        <v>244</v>
      </c>
      <c r="G145" s="39" t="s">
        <v>95</v>
      </c>
      <c r="H145" s="3">
        <v>8</v>
      </c>
      <c r="I145" s="69"/>
      <c r="J145" s="69"/>
      <c r="K145" s="73"/>
      <c r="L145" s="74"/>
      <c r="M145" s="69"/>
    </row>
    <row r="146" spans="1:13" x14ac:dyDescent="0.35">
      <c r="A146" s="14"/>
      <c r="G146" s="37" t="s">
        <v>96</v>
      </c>
      <c r="H146" s="3">
        <f>+H144+H145</f>
        <v>12</v>
      </c>
      <c r="I146" s="69"/>
      <c r="J146" s="69"/>
      <c r="K146" s="69"/>
    </row>
    <row r="147" spans="1:13" x14ac:dyDescent="0.35">
      <c r="A147" s="14"/>
      <c r="B147" s="3" t="s">
        <v>97</v>
      </c>
      <c r="C147" s="65">
        <v>53766</v>
      </c>
      <c r="D147" s="75" t="s">
        <v>98</v>
      </c>
      <c r="E147" s="76">
        <f>C147/SUM(E144:E145)</f>
        <v>146.90163934426229</v>
      </c>
      <c r="F147" s="76"/>
    </row>
    <row r="148" spans="1:13" x14ac:dyDescent="0.35">
      <c r="A148" s="14"/>
    </row>
    <row r="149" spans="1:13" x14ac:dyDescent="0.35">
      <c r="A149" s="14"/>
      <c r="B149" s="3" t="s">
        <v>99</v>
      </c>
      <c r="C149" s="3" t="s">
        <v>100</v>
      </c>
      <c r="D149" s="77">
        <f>F449</f>
        <v>323.07</v>
      </c>
      <c r="E149" s="75" t="s">
        <v>101</v>
      </c>
      <c r="G149" s="39" t="s">
        <v>102</v>
      </c>
      <c r="H149" s="37" t="s">
        <v>103</v>
      </c>
      <c r="I149" s="62">
        <f>+D149*365/1000</f>
        <v>117.92055000000001</v>
      </c>
      <c r="J149" s="3" t="s">
        <v>104</v>
      </c>
    </row>
    <row r="150" spans="1:13" x14ac:dyDescent="0.35">
      <c r="A150" s="14"/>
      <c r="B150" s="78" t="s">
        <v>105</v>
      </c>
      <c r="C150" s="3" t="s">
        <v>106</v>
      </c>
      <c r="D150" s="77">
        <f>F451</f>
        <v>311.83999999999997</v>
      </c>
      <c r="E150" s="75" t="s">
        <v>101</v>
      </c>
      <c r="H150" s="37" t="s">
        <v>107</v>
      </c>
      <c r="I150" s="62">
        <f>+D150*365/1000</f>
        <v>113.82159999999999</v>
      </c>
      <c r="J150" s="3" t="s">
        <v>104</v>
      </c>
      <c r="L150" s="67"/>
    </row>
    <row r="151" spans="1:13" x14ac:dyDescent="0.35">
      <c r="A151" s="14"/>
      <c r="D151" s="77"/>
      <c r="E151" s="75"/>
      <c r="H151" s="37"/>
      <c r="I151" s="62"/>
      <c r="L151" s="67"/>
    </row>
    <row r="152" spans="1:13" x14ac:dyDescent="0.35">
      <c r="A152" s="14"/>
      <c r="B152" s="78" t="s">
        <v>108</v>
      </c>
      <c r="L152" s="74"/>
    </row>
    <row r="153" spans="1:13" x14ac:dyDescent="0.35">
      <c r="A153" s="14"/>
      <c r="B153" s="8" t="s">
        <v>109</v>
      </c>
    </row>
    <row r="154" spans="1:13" ht="13.15" x14ac:dyDescent="0.4">
      <c r="A154" s="14"/>
      <c r="B154" s="12"/>
      <c r="C154" s="79" t="str">
        <f>" ---------- "&amp;C6&amp;" ----------"</f>
        <v xml:space="preserve"> ---------- SC1 ----------</v>
      </c>
      <c r="D154" s="80"/>
      <c r="E154" s="80"/>
      <c r="H154" s="79"/>
      <c r="I154" s="80"/>
      <c r="J154" s="80"/>
    </row>
    <row r="155" spans="1:13" ht="13.15" x14ac:dyDescent="0.4">
      <c r="A155" s="14"/>
      <c r="C155" s="37" t="s">
        <v>110</v>
      </c>
      <c r="D155" s="37"/>
      <c r="E155" s="37" t="s">
        <v>111</v>
      </c>
      <c r="H155" s="79"/>
      <c r="I155" s="80"/>
      <c r="J155" s="80"/>
    </row>
    <row r="156" spans="1:13" ht="13.15" x14ac:dyDescent="0.4">
      <c r="A156" s="14"/>
      <c r="B156" s="39" t="s">
        <v>112</v>
      </c>
      <c r="C156" s="81">
        <v>8.4649999999999999</v>
      </c>
      <c r="D156" s="3" t="s">
        <v>113</v>
      </c>
      <c r="E156" s="25">
        <f>'Backup Calcs'!H104</f>
        <v>0.43009999999999998</v>
      </c>
      <c r="H156" s="79"/>
      <c r="I156" s="80"/>
      <c r="J156" s="80"/>
    </row>
    <row r="157" spans="1:13" ht="13.15" x14ac:dyDescent="0.4">
      <c r="A157" s="14"/>
      <c r="B157" s="39" t="s">
        <v>114</v>
      </c>
      <c r="C157" s="81">
        <v>17.943999999999999</v>
      </c>
      <c r="D157" s="3" t="s">
        <v>113</v>
      </c>
      <c r="E157" s="25">
        <f>'Backup Calcs'!H105</f>
        <v>0.56989999999999996</v>
      </c>
      <c r="H157" s="79"/>
      <c r="I157" s="80"/>
      <c r="J157" s="80"/>
    </row>
    <row r="158" spans="1:13" ht="13.15" x14ac:dyDescent="0.4">
      <c r="A158" s="14"/>
      <c r="B158" s="37" t="s">
        <v>115</v>
      </c>
      <c r="C158" s="81">
        <f>+C157-C156</f>
        <v>9.4789999999999992</v>
      </c>
      <c r="D158" s="3" t="s">
        <v>113</v>
      </c>
      <c r="H158" s="79"/>
      <c r="I158" s="80"/>
      <c r="J158" s="80"/>
    </row>
    <row r="159" spans="1:13" x14ac:dyDescent="0.35">
      <c r="A159" s="3"/>
      <c r="F159" s="12"/>
    </row>
    <row r="160" spans="1:13" ht="13.15" x14ac:dyDescent="0.4">
      <c r="A160" s="54" t="s">
        <v>116</v>
      </c>
      <c r="B160" s="33" t="s">
        <v>117</v>
      </c>
    </row>
    <row r="161" spans="1:10" x14ac:dyDescent="0.35">
      <c r="A161" s="14"/>
      <c r="B161" s="12" t="s">
        <v>118</v>
      </c>
      <c r="D161" s="82">
        <f>H461</f>
        <v>18.420000000000002</v>
      </c>
      <c r="E161" s="78" t="s">
        <v>119</v>
      </c>
      <c r="F161" s="75"/>
    </row>
    <row r="162" spans="1:10" x14ac:dyDescent="0.35">
      <c r="A162" s="14"/>
      <c r="B162" s="12"/>
      <c r="F162" s="75"/>
    </row>
    <row r="163" spans="1:10" ht="13.15" x14ac:dyDescent="0.4">
      <c r="A163" s="54" t="s">
        <v>120</v>
      </c>
      <c r="B163" s="33" t="s">
        <v>121</v>
      </c>
    </row>
    <row r="164" spans="1:10" ht="13.15" x14ac:dyDescent="0.4">
      <c r="A164" s="9"/>
      <c r="B164" s="33"/>
    </row>
    <row r="165" spans="1:10" ht="13.15" x14ac:dyDescent="0.4">
      <c r="A165" s="9"/>
      <c r="B165" s="33"/>
      <c r="C165" s="35" t="str">
        <f t="shared" ref="C165" si="35">+C6</f>
        <v>SC1</v>
      </c>
      <c r="D165" s="35" t="str">
        <f>+D6</f>
        <v>SC3</v>
      </c>
      <c r="E165" s="35" t="str">
        <f>+E6</f>
        <v>SC2 ND</v>
      </c>
      <c r="F165" s="35" t="str">
        <f>+F6</f>
        <v>SC4</v>
      </c>
      <c r="G165" s="35" t="str">
        <f>+G6</f>
        <v>SC6</v>
      </c>
      <c r="H165" s="35" t="str">
        <f>$I$24</f>
        <v>SC1 TOD</v>
      </c>
    </row>
    <row r="166" spans="1:10" ht="13.15" x14ac:dyDescent="0.4">
      <c r="A166" s="9"/>
      <c r="B166" s="33"/>
    </row>
    <row r="167" spans="1:10" x14ac:dyDescent="0.35">
      <c r="A167" s="14"/>
      <c r="B167" s="37" t="s">
        <v>122</v>
      </c>
      <c r="C167" s="58">
        <f t="shared" ref="C167" si="36">(+$C$147*C141*$H$146/12)/C56</f>
        <v>21.946096892479929</v>
      </c>
      <c r="D167" s="58">
        <f>(+$C$147*D141*$H$146/12)/D56</f>
        <v>23.369129672791935</v>
      </c>
      <c r="E167" s="58">
        <f>(+$C$147*E141*$H$146/12)/E56</f>
        <v>13.923751435944395</v>
      </c>
      <c r="F167" s="58">
        <f>(+$C$147*F141*$H$146/12)/F56</f>
        <v>0</v>
      </c>
      <c r="G167" s="58">
        <f>(+$C$147*G141*$H$146/12)/G56</f>
        <v>0</v>
      </c>
      <c r="H167" s="58">
        <f>C167</f>
        <v>21.946096892479929</v>
      </c>
      <c r="I167" s="58"/>
      <c r="J167" s="58"/>
    </row>
    <row r="168" spans="1:10" x14ac:dyDescent="0.35">
      <c r="A168" s="14"/>
      <c r="B168" s="37"/>
      <c r="C168" s="58"/>
      <c r="D168" s="58"/>
      <c r="E168" s="58"/>
      <c r="F168" s="58"/>
      <c r="G168" s="58"/>
      <c r="H168" s="58"/>
      <c r="I168" s="58"/>
      <c r="J168" s="58"/>
    </row>
    <row r="169" spans="1:10" x14ac:dyDescent="0.35">
      <c r="A169" s="14"/>
      <c r="B169" s="37" t="s">
        <v>123</v>
      </c>
      <c r="C169" s="58"/>
      <c r="D169" s="58"/>
      <c r="E169" s="58"/>
      <c r="F169" s="58"/>
      <c r="G169" s="58"/>
      <c r="H169" s="58"/>
      <c r="I169" s="58"/>
      <c r="J169" s="58"/>
    </row>
    <row r="170" spans="1:10" x14ac:dyDescent="0.35">
      <c r="A170" s="14"/>
      <c r="B170" s="37" t="s">
        <v>124</v>
      </c>
      <c r="C170" s="58">
        <f t="shared" ref="C170" si="37">((+$D$149*$E$144*C139)+($D$150*$E$145*C139))/C56</f>
        <v>42.927445797397141</v>
      </c>
      <c r="D170" s="58">
        <f>((+$D$149*$E$144*D139)+($D$150*$E$145*D139))/D56</f>
        <v>23.818957235270929</v>
      </c>
      <c r="E170" s="58">
        <f>((+$D$149*$E$144*E139)+($D$150*$E$145*E139))/E56</f>
        <v>21.239260093232332</v>
      </c>
      <c r="F170" s="58">
        <f>((+$D$149*$E$144*F139)+($D$150*$E$145*F139))/F56</f>
        <v>0</v>
      </c>
      <c r="G170" s="58">
        <f>((+$D$149*$E$144*G139)+($D$150*$E$145*G139))/G56</f>
        <v>0</v>
      </c>
      <c r="H170" s="58">
        <f>C170</f>
        <v>42.927445797397141</v>
      </c>
      <c r="I170" s="58"/>
      <c r="J170" s="58"/>
    </row>
    <row r="171" spans="1:10" x14ac:dyDescent="0.35">
      <c r="A171" s="14"/>
      <c r="B171" s="37" t="s">
        <v>125</v>
      </c>
      <c r="C171" s="58">
        <f t="shared" ref="C171" si="38">C$139*$D149*$E144/SUM(C$49:C$52)</f>
        <v>33.237202139694467</v>
      </c>
      <c r="D171" s="58">
        <f>D$139*$D149*$E144/SUM(D$49:D$52)</f>
        <v>21.518631663657981</v>
      </c>
      <c r="E171" s="58">
        <f>E$139*$D149*$E144/SUM(E$49:E$52)</f>
        <v>24.968947192429024</v>
      </c>
      <c r="F171" s="58">
        <f>F$139*$D149*$E144/SUM(F$49:F$52)</f>
        <v>0</v>
      </c>
      <c r="G171" s="58">
        <f>G$139*$D149*$E144/SUM(G$49:G$52)</f>
        <v>0</v>
      </c>
      <c r="H171" s="58">
        <f>C171</f>
        <v>33.237202139694467</v>
      </c>
      <c r="I171" s="58"/>
      <c r="J171" s="58"/>
    </row>
    <row r="172" spans="1:10" x14ac:dyDescent="0.35">
      <c r="A172" s="14"/>
      <c r="B172" s="37" t="s">
        <v>126</v>
      </c>
      <c r="C172" s="58">
        <f t="shared" ref="C172" si="39">C$139*$D150*$E145/(SUM(C$44:C$48)+SUM(C$53:C$55))</f>
        <v>50.563772945240672</v>
      </c>
      <c r="D172" s="58">
        <f>D$139*$D150*$E145/(SUM(D$44:D$48)+SUM(D$53:D$55))</f>
        <v>25.215237272669153</v>
      </c>
      <c r="E172" s="58">
        <f>E$139*$D150*$E145/(SUM(E$44:E$48)+SUM(E$53:E$55))</f>
        <v>19.713876687778559</v>
      </c>
      <c r="F172" s="58">
        <f>F$139*$D150*$E145/(SUM(F$44:F$48)+SUM(F$53:F$55))</f>
        <v>0</v>
      </c>
      <c r="G172" s="58">
        <f>G$139*$D150*$E145/(SUM(G$44:G$48)+SUM(G$53:G$55))</f>
        <v>0</v>
      </c>
      <c r="H172" s="58">
        <f>C172</f>
        <v>50.563772945240672</v>
      </c>
      <c r="I172" s="58"/>
      <c r="J172" s="58"/>
    </row>
    <row r="173" spans="1:10" x14ac:dyDescent="0.35">
      <c r="A173" s="14"/>
      <c r="C173" s="63"/>
      <c r="D173" s="63"/>
      <c r="E173" s="63"/>
      <c r="F173" s="63"/>
      <c r="G173" s="63"/>
      <c r="H173" s="63"/>
      <c r="I173" s="58"/>
      <c r="J173" s="58"/>
    </row>
    <row r="174" spans="1:10" x14ac:dyDescent="0.35">
      <c r="A174" s="14"/>
      <c r="C174" s="83"/>
      <c r="D174" s="83"/>
      <c r="E174" s="83"/>
      <c r="F174" s="83"/>
      <c r="G174" s="83"/>
    </row>
    <row r="175" spans="1:10" ht="13.15" x14ac:dyDescent="0.4">
      <c r="A175" s="54" t="s">
        <v>127</v>
      </c>
      <c r="B175" s="33" t="s">
        <v>128</v>
      </c>
    </row>
    <row r="176" spans="1:10" ht="13.15" x14ac:dyDescent="0.4">
      <c r="A176" s="14"/>
      <c r="B176" s="33"/>
      <c r="C176" s="63"/>
      <c r="D176" s="63"/>
      <c r="E176" s="63"/>
      <c r="F176" s="63"/>
      <c r="G176" s="63"/>
    </row>
    <row r="177" spans="1:8" ht="13.15" x14ac:dyDescent="0.4">
      <c r="A177" s="14"/>
      <c r="B177" s="13" t="s">
        <v>129</v>
      </c>
      <c r="C177" s="83"/>
      <c r="D177" s="83"/>
      <c r="E177" s="83"/>
      <c r="F177" s="83"/>
      <c r="G177" s="83"/>
    </row>
    <row r="178" spans="1:8" x14ac:dyDescent="0.35">
      <c r="A178" s="14"/>
      <c r="B178" s="12"/>
    </row>
    <row r="179" spans="1:8" ht="13.15" x14ac:dyDescent="0.4">
      <c r="A179" s="14"/>
      <c r="C179" s="35" t="str">
        <f t="shared" ref="C179" si="40">+C6</f>
        <v>SC1</v>
      </c>
      <c r="D179" s="35" t="str">
        <f>+D6</f>
        <v>SC3</v>
      </c>
      <c r="E179" s="35" t="str">
        <f>+E6</f>
        <v>SC2 ND</v>
      </c>
      <c r="F179" s="35" t="str">
        <f>+F6</f>
        <v>SC4</v>
      </c>
      <c r="G179" s="35" t="str">
        <f>+G6</f>
        <v>SC6</v>
      </c>
      <c r="H179" s="35" t="str">
        <f>$I$24</f>
        <v>SC1 TOD</v>
      </c>
    </row>
    <row r="180" spans="1:8" ht="13.15" x14ac:dyDescent="0.4">
      <c r="A180" s="14"/>
      <c r="C180" s="19"/>
      <c r="D180" s="58"/>
      <c r="E180" s="19"/>
      <c r="H180" s="58"/>
    </row>
    <row r="181" spans="1:8" x14ac:dyDescent="0.35">
      <c r="A181" s="14"/>
      <c r="B181" s="21" t="s">
        <v>64</v>
      </c>
      <c r="C181" s="84">
        <f t="shared" ref="C181" si="41">+C124+$D$161+C$167+C171</f>
        <v>142.80638096346854</v>
      </c>
      <c r="D181" s="58">
        <f>+D124+$D$161+D$167+D171</f>
        <v>122.5939619324118</v>
      </c>
      <c r="E181" s="58">
        <f>+E124+$D$161+E$167+E171</f>
        <v>114.68530646629408</v>
      </c>
      <c r="F181" s="58">
        <f>+F124+$D$161+F$167+F171</f>
        <v>77.023187321464121</v>
      </c>
      <c r="G181" s="58">
        <f>+G124+$D$161+G$167+G171</f>
        <v>76.683294313480971</v>
      </c>
      <c r="H181" s="58">
        <f>+I124+$D$161+C$167+C171</f>
        <v>142.80638096346854</v>
      </c>
    </row>
    <row r="182" spans="1:8" x14ac:dyDescent="0.35">
      <c r="A182" s="14"/>
      <c r="B182" s="60" t="s">
        <v>79</v>
      </c>
      <c r="C182" s="58"/>
      <c r="D182" s="84">
        <f>+D125+$D$161+D$167+(D171*M48/M49)</f>
        <v>169.51644363894948</v>
      </c>
      <c r="E182" s="58"/>
      <c r="F182" s="58"/>
      <c r="G182" s="58"/>
      <c r="H182" s="84">
        <f>+I125+$D$161+C$167+(C171*R48/R49)</f>
        <v>237.79806380189177</v>
      </c>
    </row>
    <row r="183" spans="1:8" x14ac:dyDescent="0.35">
      <c r="A183" s="14"/>
      <c r="B183" s="60" t="s">
        <v>80</v>
      </c>
      <c r="C183" s="58"/>
      <c r="D183" s="84">
        <f>+D126+$D$161+D$167</f>
        <v>89.327287865034691</v>
      </c>
      <c r="E183" s="58"/>
      <c r="F183" s="58"/>
      <c r="G183" s="58"/>
      <c r="H183" s="84">
        <f>+I126+$D$161+C$167</f>
        <v>100.31298298504217</v>
      </c>
    </row>
    <row r="184" spans="1:8" x14ac:dyDescent="0.35">
      <c r="A184" s="14"/>
      <c r="B184" s="37" t="s">
        <v>130</v>
      </c>
      <c r="C184" s="58">
        <f>(C181*SUM(C49:C52)-C158*10*E157*SUM(C49:C52))/SUM(C49:C52)</f>
        <v>88.785559963468557</v>
      </c>
      <c r="D184" s="58"/>
      <c r="E184" s="58"/>
      <c r="F184" s="58"/>
      <c r="G184" s="58"/>
      <c r="H184" s="58"/>
    </row>
    <row r="185" spans="1:8" x14ac:dyDescent="0.35">
      <c r="A185" s="14"/>
      <c r="B185" s="37" t="s">
        <v>131</v>
      </c>
      <c r="C185" s="58">
        <f>C184+C158*10</f>
        <v>183.57555996346855</v>
      </c>
      <c r="D185" s="58"/>
      <c r="E185" s="58"/>
      <c r="F185" s="58"/>
      <c r="G185" s="58"/>
      <c r="H185" s="58"/>
    </row>
    <row r="186" spans="1:8" x14ac:dyDescent="0.35">
      <c r="A186" s="14"/>
      <c r="B186" s="58"/>
      <c r="C186" s="58"/>
      <c r="D186" s="58"/>
      <c r="E186" s="58"/>
      <c r="F186" s="58"/>
      <c r="G186" s="58"/>
      <c r="H186" s="58"/>
    </row>
    <row r="187" spans="1:8" x14ac:dyDescent="0.35">
      <c r="A187" s="14"/>
      <c r="C187" s="58"/>
      <c r="D187" s="58"/>
      <c r="E187" s="58"/>
      <c r="F187" s="58"/>
      <c r="G187" s="58"/>
      <c r="H187" s="58"/>
    </row>
    <row r="188" spans="1:8" x14ac:dyDescent="0.35">
      <c r="A188" s="14"/>
      <c r="B188" s="21" t="s">
        <v>70</v>
      </c>
      <c r="C188" s="84">
        <f t="shared" ref="C188" si="42">+C128+$D$161+C$167+C172</f>
        <v>163.73218437411109</v>
      </c>
      <c r="D188" s="58">
        <f>+D128+$D$161+D$167+D172</f>
        <v>135.90352631719119</v>
      </c>
      <c r="E188" s="58">
        <f>+E128+$D$161+E$167+E172</f>
        <v>122.60797724779761</v>
      </c>
      <c r="F188" s="58">
        <f>+F128+$D$161+F$167+F172</f>
        <v>87.208514022942339</v>
      </c>
      <c r="G188" s="58">
        <f>+G128+$D$161+G$167+G172</f>
        <v>86.174523969689147</v>
      </c>
      <c r="H188" s="58">
        <f>+C128+$D$161+C$167+C172</f>
        <v>163.73218437411109</v>
      </c>
    </row>
    <row r="189" spans="1:8" x14ac:dyDescent="0.35">
      <c r="A189" s="14"/>
      <c r="B189" s="60" t="s">
        <v>79</v>
      </c>
      <c r="C189" s="58"/>
      <c r="D189" s="84">
        <f>+D129+$D$161+D$167+(D172*M44/M45)</f>
        <v>187.0860297567296</v>
      </c>
      <c r="E189" s="58"/>
      <c r="F189" s="58"/>
      <c r="G189" s="58"/>
      <c r="H189" s="84">
        <f>+I129+$D$161+C$167+(C172*R44/R45)</f>
        <v>330.45505359471599</v>
      </c>
    </row>
    <row r="190" spans="1:8" x14ac:dyDescent="0.35">
      <c r="A190" s="14"/>
      <c r="B190" s="60" t="s">
        <v>80</v>
      </c>
      <c r="C190" s="58"/>
      <c r="D190" s="84">
        <f>+D130+$D$161+D$167</f>
        <v>106.04253407468801</v>
      </c>
      <c r="E190" s="58"/>
      <c r="F190" s="58"/>
      <c r="G190" s="58"/>
      <c r="H190" s="84">
        <f>+I130+$D$161+C$167</f>
        <v>110.15503197487487</v>
      </c>
    </row>
    <row r="191" spans="1:8" x14ac:dyDescent="0.35">
      <c r="A191" s="14"/>
      <c r="C191" s="58"/>
      <c r="D191" s="58"/>
      <c r="E191" s="58"/>
      <c r="F191" s="58"/>
      <c r="G191" s="58"/>
      <c r="H191" s="58"/>
    </row>
    <row r="192" spans="1:8" x14ac:dyDescent="0.35">
      <c r="A192" s="14"/>
      <c r="B192" s="3" t="s">
        <v>132</v>
      </c>
      <c r="C192" s="84">
        <f t="shared" ref="C192" si="43">+C132+$D$161+C$167+C170</f>
        <v>154.50957001674641</v>
      </c>
      <c r="D192" s="58">
        <f>+D132+$D$161+D$167+D170</f>
        <v>130.87624425831206</v>
      </c>
      <c r="E192" s="58">
        <f>+E132+$D$161+E$167+E170</f>
        <v>120.30827251000498</v>
      </c>
      <c r="F192" s="58">
        <f>+F132+$D$161+F$167+F170</f>
        <v>84.356420806955242</v>
      </c>
      <c r="G192" s="58">
        <f>+G132+$D$161+G$167+G170</f>
        <v>83.355634573938417</v>
      </c>
      <c r="H192" s="58">
        <f>+I132+$D$161+C$167+C170</f>
        <v>154.50957001674641</v>
      </c>
    </row>
    <row r="193" spans="1:26" x14ac:dyDescent="0.35">
      <c r="A193" s="14"/>
      <c r="C193" s="58"/>
      <c r="D193" s="58"/>
      <c r="E193" s="58"/>
      <c r="F193" s="58"/>
      <c r="G193" s="58"/>
      <c r="H193" s="58"/>
    </row>
    <row r="194" spans="1:26" ht="13.15" x14ac:dyDescent="0.4">
      <c r="A194" s="14"/>
      <c r="B194" s="13" t="s">
        <v>133</v>
      </c>
    </row>
    <row r="195" spans="1:26" x14ac:dyDescent="0.35">
      <c r="A195" s="14"/>
      <c r="B195" s="12"/>
    </row>
    <row r="196" spans="1:26" ht="13.15" x14ac:dyDescent="0.4">
      <c r="A196" s="14"/>
      <c r="C196" s="35" t="str">
        <f>+H6</f>
        <v>SC2 Dem</v>
      </c>
      <c r="D196" s="19"/>
      <c r="F196" s="33" t="s">
        <v>134</v>
      </c>
    </row>
    <row r="197" spans="1:26" ht="13.15" x14ac:dyDescent="0.4">
      <c r="A197" s="14"/>
      <c r="C197" s="19"/>
      <c r="E197" s="33"/>
    </row>
    <row r="198" spans="1:26" x14ac:dyDescent="0.35">
      <c r="A198" s="14"/>
      <c r="B198" s="21" t="s">
        <v>64</v>
      </c>
      <c r="C198" s="58">
        <f>+H124+$D$161</f>
        <v>78.904687786731586</v>
      </c>
      <c r="F198" s="85" t="s">
        <v>135</v>
      </c>
    </row>
    <row r="199" spans="1:26" x14ac:dyDescent="0.35">
      <c r="A199" s="14"/>
      <c r="B199" s="60"/>
      <c r="C199" s="58"/>
    </row>
    <row r="200" spans="1:26" ht="13.15" x14ac:dyDescent="0.4">
      <c r="A200" s="14"/>
      <c r="B200" s="60"/>
      <c r="C200" s="58"/>
      <c r="G200" s="35"/>
      <c r="H200" s="35" t="s">
        <v>12</v>
      </c>
      <c r="I200" s="86"/>
    </row>
    <row r="201" spans="1:26" x14ac:dyDescent="0.35">
      <c r="A201" s="14"/>
      <c r="C201" s="58"/>
    </row>
    <row r="202" spans="1:26" x14ac:dyDescent="0.35">
      <c r="A202" s="14"/>
      <c r="B202" s="21" t="s">
        <v>70</v>
      </c>
      <c r="C202" s="58">
        <f>+H128+$D$161</f>
        <v>87.298463792169898</v>
      </c>
      <c r="F202" s="37" t="s">
        <v>100</v>
      </c>
      <c r="G202" s="87"/>
      <c r="H202" s="61">
        <f>ROUND(H139*D149*E144/$M$223,2)</f>
        <v>7.05</v>
      </c>
      <c r="I202" s="88"/>
    </row>
    <row r="203" spans="1:26" x14ac:dyDescent="0.35">
      <c r="A203" s="14"/>
      <c r="B203" s="60"/>
      <c r="C203" s="58"/>
      <c r="F203" s="37" t="s">
        <v>106</v>
      </c>
      <c r="G203" s="87"/>
      <c r="H203" s="61">
        <f>ROUND(H139*D150*E145/$M$224,2)</f>
        <v>8.16</v>
      </c>
      <c r="I203" s="88"/>
    </row>
    <row r="204" spans="1:26" x14ac:dyDescent="0.35">
      <c r="A204" s="14"/>
      <c r="B204" s="60"/>
      <c r="C204" s="58"/>
    </row>
    <row r="205" spans="1:26" x14ac:dyDescent="0.35">
      <c r="A205" s="14"/>
      <c r="B205" s="60"/>
      <c r="C205" s="58"/>
      <c r="F205" s="89" t="s">
        <v>136</v>
      </c>
      <c r="H205" s="75"/>
    </row>
    <row r="206" spans="1:26" x14ac:dyDescent="0.35">
      <c r="A206" s="14"/>
      <c r="B206" s="3" t="s">
        <v>137</v>
      </c>
      <c r="C206" s="58">
        <f>+H132+$D$161</f>
        <v>84.171645068708671</v>
      </c>
      <c r="F206" s="37" t="s">
        <v>138</v>
      </c>
      <c r="G206" s="62">
        <f>ROUND(+C147/1000/12,2)</f>
        <v>4.4800000000000004</v>
      </c>
      <c r="H206" s="75" t="s">
        <v>139</v>
      </c>
      <c r="P206" s="61"/>
    </row>
    <row r="207" spans="1:26" x14ac:dyDescent="0.35">
      <c r="A207" s="54" t="s">
        <v>127</v>
      </c>
      <c r="B207" s="90" t="s">
        <v>140</v>
      </c>
      <c r="C207" s="58"/>
      <c r="K207" s="91"/>
      <c r="L207" s="92"/>
      <c r="M207" s="92"/>
      <c r="N207" s="92"/>
      <c r="O207" s="92"/>
      <c r="P207" s="92"/>
      <c r="Q207" s="92"/>
      <c r="R207" s="92"/>
      <c r="S207" s="92"/>
      <c r="T207" s="92"/>
      <c r="U207" s="92"/>
      <c r="V207" s="92"/>
      <c r="W207" s="92"/>
      <c r="X207" s="92"/>
      <c r="Y207" s="92"/>
      <c r="Z207" s="92"/>
    </row>
    <row r="208" spans="1:26" x14ac:dyDescent="0.35">
      <c r="A208" s="54"/>
      <c r="C208" s="58"/>
      <c r="K208" s="92"/>
      <c r="L208" s="92"/>
      <c r="M208" s="92"/>
      <c r="N208" s="92"/>
      <c r="O208" s="92"/>
      <c r="P208" s="92"/>
      <c r="Q208" s="92"/>
      <c r="R208" s="92"/>
      <c r="S208" s="92"/>
      <c r="T208" s="92"/>
      <c r="U208" s="92"/>
      <c r="V208" s="92"/>
      <c r="W208" s="92"/>
      <c r="X208" s="92"/>
      <c r="Y208" s="92"/>
      <c r="Z208" s="92"/>
    </row>
    <row r="209" spans="1:27" x14ac:dyDescent="0.35">
      <c r="A209" s="14"/>
      <c r="B209" s="93" t="s">
        <v>141</v>
      </c>
      <c r="C209" s="58"/>
      <c r="D209" s="58"/>
      <c r="F209" s="94" t="s">
        <v>135</v>
      </c>
      <c r="K209" s="95"/>
      <c r="L209" s="92"/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2"/>
      <c r="X209" s="92"/>
      <c r="Y209" s="92"/>
      <c r="Z209" s="92"/>
    </row>
    <row r="210" spans="1:27" x14ac:dyDescent="0.35">
      <c r="A210" s="14"/>
      <c r="B210" s="21" t="s">
        <v>64</v>
      </c>
      <c r="C210" s="84">
        <f>(C198*Q48+($H213*($M$223/4*H144))+($G206*$H144*H141*1000))/Q48</f>
        <v>114.99940125087261</v>
      </c>
      <c r="D210" s="84"/>
      <c r="F210" s="48"/>
      <c r="K210" s="92"/>
      <c r="L210" s="92"/>
      <c r="M210" s="92"/>
      <c r="N210" s="92"/>
      <c r="O210" s="92"/>
      <c r="P210" s="92"/>
      <c r="Q210" s="92"/>
      <c r="R210" s="92"/>
      <c r="S210" s="92"/>
      <c r="T210" s="378"/>
      <c r="U210" s="378"/>
      <c r="V210" s="96"/>
      <c r="W210" s="96"/>
      <c r="X210" s="92"/>
      <c r="Y210" s="92"/>
      <c r="Z210" s="92"/>
    </row>
    <row r="211" spans="1:27" ht="13.15" x14ac:dyDescent="0.4">
      <c r="A211" s="14"/>
      <c r="B211" s="60"/>
      <c r="C211" s="58"/>
      <c r="D211" s="58"/>
      <c r="F211" s="48"/>
      <c r="H211" s="35" t="s">
        <v>12</v>
      </c>
      <c r="K211" s="92"/>
      <c r="L211" s="97"/>
      <c r="M211" s="98"/>
      <c r="N211" s="98"/>
      <c r="O211" s="92"/>
      <c r="P211" s="92"/>
      <c r="Q211" s="99"/>
      <c r="R211" s="99"/>
      <c r="S211" s="99"/>
      <c r="T211" s="92"/>
      <c r="U211" s="92"/>
      <c r="V211" s="92"/>
      <c r="W211" s="92"/>
      <c r="X211" s="100"/>
      <c r="Y211" s="92"/>
      <c r="Z211" s="92"/>
    </row>
    <row r="212" spans="1:27" ht="13.15" x14ac:dyDescent="0.4">
      <c r="A212" s="14"/>
      <c r="B212" s="60"/>
      <c r="C212" s="58"/>
      <c r="D212" s="58"/>
      <c r="F212" s="48"/>
      <c r="G212" s="35"/>
      <c r="H212" s="86"/>
      <c r="I212" s="86"/>
      <c r="K212" s="92"/>
      <c r="L212" s="92"/>
      <c r="M212" s="92"/>
      <c r="N212" s="92"/>
      <c r="O212" s="92"/>
      <c r="P212" s="92"/>
      <c r="Q212" s="92"/>
      <c r="R212" s="92"/>
      <c r="S212" s="92"/>
      <c r="T212" s="92"/>
      <c r="U212" s="92"/>
      <c r="V212" s="92"/>
      <c r="W212" s="92"/>
      <c r="X212" s="92"/>
      <c r="Y212" s="92"/>
      <c r="Z212" s="92"/>
    </row>
    <row r="213" spans="1:27" x14ac:dyDescent="0.35">
      <c r="A213" s="14"/>
      <c r="C213" s="58"/>
      <c r="D213" s="58"/>
      <c r="F213" s="48" t="s">
        <v>100</v>
      </c>
      <c r="G213" s="88"/>
      <c r="H213" s="61">
        <f>H202</f>
        <v>7.05</v>
      </c>
      <c r="I213" s="88"/>
      <c r="K213" s="99"/>
      <c r="L213" s="101"/>
      <c r="M213" s="81"/>
      <c r="N213" s="81"/>
      <c r="O213" s="92"/>
      <c r="P213" s="101"/>
      <c r="Q213" s="102"/>
      <c r="R213" s="102"/>
      <c r="S213" s="103"/>
      <c r="T213" s="104"/>
      <c r="U213" s="104"/>
      <c r="V213" s="92"/>
      <c r="W213" s="92"/>
      <c r="X213" s="92"/>
      <c r="Y213" s="92"/>
      <c r="Z213" s="61"/>
      <c r="AA213" s="61"/>
    </row>
    <row r="214" spans="1:27" x14ac:dyDescent="0.35">
      <c r="A214" s="14"/>
      <c r="B214" s="21" t="s">
        <v>70</v>
      </c>
      <c r="C214" s="84">
        <f>(C202*Q44+($H214*($M$224/8*H145))+($G206*$H145*H141*1000))/Q44</f>
        <v>129.1465683722092</v>
      </c>
      <c r="D214" s="84"/>
      <c r="F214" s="48" t="s">
        <v>106</v>
      </c>
      <c r="G214" s="88"/>
      <c r="H214" s="61">
        <f>H203</f>
        <v>8.16</v>
      </c>
      <c r="I214" s="88"/>
      <c r="K214" s="99"/>
      <c r="L214" s="101"/>
      <c r="N214" s="81"/>
      <c r="O214" s="92"/>
      <c r="P214" s="101"/>
      <c r="Q214" s="102"/>
      <c r="R214" s="102"/>
      <c r="S214" s="103"/>
      <c r="T214" s="104"/>
      <c r="U214" s="104"/>
      <c r="V214" s="92"/>
      <c r="W214" s="92"/>
      <c r="X214" s="92"/>
      <c r="Y214" s="92"/>
      <c r="Z214" s="92"/>
    </row>
    <row r="215" spans="1:27" x14ac:dyDescent="0.35">
      <c r="A215" s="14"/>
      <c r="B215" s="60"/>
      <c r="C215" s="58"/>
      <c r="G215" s="83"/>
      <c r="H215" s="83"/>
      <c r="K215" s="92"/>
      <c r="L215" s="92"/>
      <c r="M215" s="92"/>
      <c r="N215" s="92"/>
      <c r="O215" s="92"/>
      <c r="P215" s="92"/>
      <c r="Q215" s="92"/>
      <c r="R215" s="92"/>
      <c r="S215" s="92"/>
      <c r="T215" s="92"/>
      <c r="U215" s="92"/>
      <c r="V215" s="92"/>
      <c r="W215" s="92"/>
      <c r="X215" s="92"/>
      <c r="Y215" s="92"/>
      <c r="Z215" s="92"/>
    </row>
    <row r="216" spans="1:27" x14ac:dyDescent="0.35">
      <c r="A216" s="14"/>
      <c r="B216" s="60"/>
      <c r="C216" s="58"/>
      <c r="K216" s="105"/>
      <c r="L216" s="92"/>
      <c r="M216" s="106"/>
      <c r="N216" s="92"/>
      <c r="O216" s="92"/>
      <c r="P216" s="92"/>
      <c r="Q216" s="92"/>
      <c r="R216" s="92"/>
      <c r="S216" s="92"/>
      <c r="T216" s="92"/>
      <c r="U216" s="92"/>
      <c r="V216" s="92"/>
      <c r="W216" s="92"/>
      <c r="X216" s="92"/>
      <c r="Y216" s="92"/>
      <c r="Z216" s="92"/>
    </row>
    <row r="217" spans="1:27" x14ac:dyDescent="0.35">
      <c r="A217" s="14"/>
      <c r="B217" s="60"/>
      <c r="C217" s="58"/>
      <c r="G217" s="63"/>
      <c r="H217" s="63"/>
      <c r="K217" s="99"/>
      <c r="L217" s="107"/>
      <c r="M217" s="106"/>
      <c r="N217" s="92"/>
      <c r="O217" s="92"/>
      <c r="P217" s="108"/>
      <c r="Q217" s="92"/>
      <c r="R217" s="92"/>
      <c r="S217" s="92"/>
      <c r="T217" s="92"/>
      <c r="U217" s="92"/>
      <c r="V217" s="92"/>
      <c r="W217" s="92"/>
      <c r="X217" s="92"/>
      <c r="Y217" s="92"/>
      <c r="Z217" s="92"/>
    </row>
    <row r="218" spans="1:27" x14ac:dyDescent="0.35">
      <c r="A218" s="14"/>
      <c r="B218" s="3" t="s">
        <v>142</v>
      </c>
      <c r="C218" s="84">
        <f>(C206*H56+($H213*($M$223/4*H144)+$H214*($M$224/8*H145))+($G206*$H146*H141*1000))/H56</f>
        <v>123.87651744277407</v>
      </c>
      <c r="K218" s="92"/>
      <c r="L218" s="92"/>
      <c r="M218" s="92"/>
      <c r="N218" s="92"/>
      <c r="O218" s="92"/>
      <c r="P218" s="92"/>
      <c r="Q218" s="92"/>
      <c r="R218" s="92"/>
      <c r="S218" s="92"/>
      <c r="T218" s="92"/>
      <c r="U218" s="92"/>
      <c r="V218" s="92"/>
      <c r="W218" s="92"/>
      <c r="X218" s="92"/>
      <c r="Y218" s="92"/>
      <c r="Z218" s="92"/>
    </row>
    <row r="219" spans="1:27" x14ac:dyDescent="0.35">
      <c r="A219" s="14"/>
      <c r="C219" s="64"/>
      <c r="D219" s="64"/>
      <c r="L219" s="92"/>
      <c r="M219" s="92"/>
      <c r="N219" s="92"/>
      <c r="O219" s="92"/>
      <c r="P219" s="92"/>
      <c r="Q219" s="92"/>
      <c r="R219" s="92"/>
      <c r="S219" s="92"/>
      <c r="T219" s="92"/>
      <c r="U219" s="92"/>
      <c r="V219" s="92"/>
      <c r="W219" s="92"/>
      <c r="X219" s="92"/>
      <c r="Y219" s="92"/>
      <c r="Z219" s="92"/>
      <c r="AA219" s="92"/>
    </row>
    <row r="220" spans="1:27" ht="13.5" thickBot="1" x14ac:dyDescent="0.45">
      <c r="A220" s="14"/>
      <c r="B220" s="33" t="s">
        <v>143</v>
      </c>
      <c r="C220" s="58"/>
      <c r="D220" s="58"/>
    </row>
    <row r="221" spans="1:27" x14ac:dyDescent="0.35">
      <c r="A221" s="14"/>
      <c r="B221" s="37" t="s">
        <v>144</v>
      </c>
      <c r="C221" s="109">
        <f>(+SUMPRODUCT(C192:G192,C56:G56)+SUMPRODUCT(C218,H56))/1000</f>
        <v>162266.19666530477</v>
      </c>
      <c r="L221" s="110" t="s">
        <v>145</v>
      </c>
      <c r="M221" s="111"/>
    </row>
    <row r="222" spans="1:27" x14ac:dyDescent="0.35">
      <c r="A222" s="14"/>
      <c r="C222" s="37" t="s">
        <v>146</v>
      </c>
      <c r="D222" s="84">
        <f>+C221/SUM(C56:H56)*1000</f>
        <v>143.74882439929411</v>
      </c>
      <c r="E222" s="3" t="s">
        <v>147</v>
      </c>
      <c r="L222" s="112"/>
      <c r="M222" s="113" t="s">
        <v>148</v>
      </c>
    </row>
    <row r="223" spans="1:27" x14ac:dyDescent="0.35">
      <c r="A223" s="14"/>
      <c r="C223" s="37" t="s">
        <v>149</v>
      </c>
      <c r="D223" s="84">
        <f>+C221/SUMPRODUCT(C56:H56,C81:H81)*1000</f>
        <v>133.50669274854013</v>
      </c>
      <c r="E223" s="3" t="s">
        <v>150</v>
      </c>
      <c r="L223" s="112" t="s">
        <v>69</v>
      </c>
      <c r="M223" s="114">
        <f>'Backup Calcs'!G95</f>
        <v>455476.64</v>
      </c>
    </row>
    <row r="224" spans="1:27" ht="13.15" thickBot="1" x14ac:dyDescent="0.4">
      <c r="A224" s="14"/>
      <c r="L224" s="115" t="s">
        <v>62</v>
      </c>
      <c r="M224" s="116">
        <f>'Backup Calcs'!G96</f>
        <v>759306.39</v>
      </c>
    </row>
    <row r="225" spans="1:10" x14ac:dyDescent="0.35">
      <c r="A225" s="14"/>
      <c r="E225" s="117"/>
    </row>
    <row r="226" spans="1:10" ht="13.15" x14ac:dyDescent="0.4">
      <c r="A226" s="54" t="s">
        <v>151</v>
      </c>
      <c r="B226" s="33" t="s">
        <v>152</v>
      </c>
    </row>
    <row r="227" spans="1:10" ht="13.15" x14ac:dyDescent="0.4">
      <c r="A227" s="14"/>
      <c r="B227" s="33"/>
    </row>
    <row r="228" spans="1:10" ht="13.15" x14ac:dyDescent="0.4">
      <c r="A228" s="14"/>
      <c r="B228" s="33" t="s">
        <v>153</v>
      </c>
    </row>
    <row r="229" spans="1:10" x14ac:dyDescent="0.35">
      <c r="A229" s="14"/>
      <c r="B229" s="12" t="s">
        <v>154</v>
      </c>
    </row>
    <row r="230" spans="1:10" ht="13.15" x14ac:dyDescent="0.4">
      <c r="A230" s="14"/>
      <c r="B230" s="33"/>
    </row>
    <row r="231" spans="1:10" ht="13.15" x14ac:dyDescent="0.4">
      <c r="A231" s="14"/>
      <c r="C231" s="35" t="str">
        <f t="shared" ref="C231" si="44">+C6</f>
        <v>SC1</v>
      </c>
      <c r="D231" s="35" t="str">
        <f>+D6</f>
        <v>SC3</v>
      </c>
      <c r="E231" s="35" t="str">
        <f>+E6</f>
        <v>SC2 ND</v>
      </c>
      <c r="F231" s="35" t="str">
        <f>+F6</f>
        <v>SC4</v>
      </c>
      <c r="G231" s="35" t="str">
        <f>+G6</f>
        <v>SC6</v>
      </c>
      <c r="H231" s="35" t="str">
        <f>$I$24</f>
        <v>SC1 TOD</v>
      </c>
    </row>
    <row r="232" spans="1:10" ht="13.15" x14ac:dyDescent="0.4">
      <c r="A232" s="14"/>
      <c r="C232" s="19"/>
      <c r="D232" s="19"/>
      <c r="E232" s="19"/>
    </row>
    <row r="233" spans="1:10" ht="13.15" x14ac:dyDescent="0.4">
      <c r="A233" s="14"/>
      <c r="B233" s="21" t="s">
        <v>64</v>
      </c>
      <c r="C233" s="118">
        <f>ROUND(+C181/$D$223,3)</f>
        <v>1.07</v>
      </c>
      <c r="D233" s="119"/>
      <c r="E233" s="118">
        <f>ROUND(+E181/$D$223,3)</f>
        <v>0.85899999999999999</v>
      </c>
      <c r="F233" s="118">
        <f>ROUND(+F181/$D$223,3)</f>
        <v>0.57699999999999996</v>
      </c>
      <c r="G233" s="118">
        <f>ROUND(+G181/$D$223,3)</f>
        <v>0.57399999999999995</v>
      </c>
      <c r="H233" s="120"/>
      <c r="I233" s="120"/>
      <c r="J233" s="120"/>
    </row>
    <row r="234" spans="1:10" ht="13.15" x14ac:dyDescent="0.4">
      <c r="A234" s="14"/>
      <c r="B234" s="60" t="s">
        <v>79</v>
      </c>
      <c r="C234" s="119"/>
      <c r="D234" s="118">
        <f>ROUND(+D182/$D$223,3)</f>
        <v>1.27</v>
      </c>
      <c r="E234" s="119"/>
      <c r="F234" s="119"/>
      <c r="G234" s="119"/>
      <c r="H234" s="118">
        <f>ROUND(+H182/$D$223,3)</f>
        <v>1.7809999999999999</v>
      </c>
      <c r="I234" s="120"/>
      <c r="J234" s="120"/>
    </row>
    <row r="235" spans="1:10" ht="13.15" x14ac:dyDescent="0.4">
      <c r="A235" s="14"/>
      <c r="B235" s="60" t="s">
        <v>80</v>
      </c>
      <c r="C235" s="119"/>
      <c r="D235" s="118">
        <f>ROUND(+D183/$D$223,3)</f>
        <v>0.66900000000000004</v>
      </c>
      <c r="E235" s="119"/>
      <c r="F235" s="119"/>
      <c r="G235" s="119"/>
      <c r="H235" s="118">
        <f>ROUND(+H183/$D$223,3)</f>
        <v>0.751</v>
      </c>
      <c r="I235" s="120"/>
      <c r="J235" s="120"/>
    </row>
    <row r="236" spans="1:10" ht="13.15" x14ac:dyDescent="0.4">
      <c r="A236" s="14"/>
      <c r="B236" s="60"/>
      <c r="C236" s="119"/>
      <c r="D236" s="121"/>
      <c r="E236" s="119"/>
      <c r="F236" s="119"/>
      <c r="G236" s="119"/>
      <c r="H236" s="120"/>
      <c r="I236" s="120"/>
      <c r="J236" s="120"/>
    </row>
    <row r="237" spans="1:10" ht="13.15" x14ac:dyDescent="0.4">
      <c r="A237" s="14"/>
      <c r="B237" s="86"/>
      <c r="D237" s="121"/>
      <c r="E237" s="119"/>
      <c r="F237" s="119"/>
      <c r="G237" s="119"/>
      <c r="H237" s="120"/>
      <c r="I237" s="120"/>
      <c r="J237" s="120"/>
    </row>
    <row r="238" spans="1:10" ht="13.15" x14ac:dyDescent="0.4">
      <c r="A238" s="14"/>
      <c r="B238" s="122" t="s">
        <v>155</v>
      </c>
      <c r="C238" s="123">
        <f>C184-C181</f>
        <v>-54.020820999999984</v>
      </c>
      <c r="D238" s="121"/>
      <c r="E238" s="119"/>
      <c r="F238" s="119"/>
      <c r="G238" s="119"/>
      <c r="H238" s="120"/>
      <c r="I238" s="120"/>
      <c r="J238" s="120"/>
    </row>
    <row r="239" spans="1:10" ht="13.15" x14ac:dyDescent="0.4">
      <c r="A239" s="14"/>
      <c r="B239" s="122" t="s">
        <v>156</v>
      </c>
      <c r="C239" s="123">
        <f>C185-C181</f>
        <v>40.769179000000008</v>
      </c>
      <c r="D239" s="121"/>
      <c r="E239" s="119"/>
      <c r="F239" s="119"/>
      <c r="G239" s="119"/>
      <c r="H239" s="120"/>
      <c r="I239" s="120"/>
      <c r="J239" s="120"/>
    </row>
    <row r="240" spans="1:10" ht="13.15" x14ac:dyDescent="0.4">
      <c r="A240" s="14"/>
      <c r="B240" s="119"/>
      <c r="C240" s="119"/>
      <c r="D240" s="121"/>
      <c r="E240" s="119"/>
      <c r="F240" s="119"/>
      <c r="G240" s="119"/>
      <c r="H240" s="120"/>
      <c r="I240" s="120"/>
      <c r="J240" s="120"/>
    </row>
    <row r="241" spans="1:10" x14ac:dyDescent="0.35">
      <c r="A241" s="14"/>
      <c r="C241" s="119"/>
      <c r="D241" s="119"/>
      <c r="E241" s="119"/>
      <c r="F241" s="119"/>
      <c r="G241" s="119"/>
      <c r="H241" s="120"/>
      <c r="I241" s="120"/>
      <c r="J241" s="120"/>
    </row>
    <row r="242" spans="1:10" ht="13.15" x14ac:dyDescent="0.4">
      <c r="A242" s="14"/>
      <c r="B242" s="21" t="s">
        <v>70</v>
      </c>
      <c r="C242" s="118">
        <f>ROUND(+C188/$D$223,3)</f>
        <v>1.226</v>
      </c>
      <c r="D242" s="124"/>
      <c r="E242" s="118">
        <f>ROUND(+E188/$D$223,3)</f>
        <v>0.91800000000000004</v>
      </c>
      <c r="F242" s="118">
        <f>ROUND(+F188/$D$223,3)</f>
        <v>0.65300000000000002</v>
      </c>
      <c r="G242" s="118">
        <f>ROUND(+G188/$D$223,3)</f>
        <v>0.64500000000000002</v>
      </c>
      <c r="H242" s="120"/>
      <c r="I242" s="120"/>
      <c r="J242" s="120"/>
    </row>
    <row r="243" spans="1:10" ht="13.15" x14ac:dyDescent="0.4">
      <c r="A243" s="14"/>
      <c r="B243" s="60" t="s">
        <v>79</v>
      </c>
      <c r="C243" s="119"/>
      <c r="D243" s="118">
        <f>ROUND(+D189/$D$223,3)</f>
        <v>1.401</v>
      </c>
      <c r="E243" s="119"/>
      <c r="F243" s="119"/>
      <c r="G243" s="119"/>
      <c r="H243" s="125">
        <f>ROUND(+H189/$D$223,3)</f>
        <v>2.4750000000000001</v>
      </c>
      <c r="I243" s="120"/>
      <c r="J243" s="120"/>
    </row>
    <row r="244" spans="1:10" ht="13.15" x14ac:dyDescent="0.4">
      <c r="A244" s="14"/>
      <c r="B244" s="60" t="s">
        <v>80</v>
      </c>
      <c r="C244" s="119"/>
      <c r="D244" s="118">
        <f>ROUND(+D190/$D$223,3)</f>
        <v>0.79400000000000004</v>
      </c>
      <c r="E244" s="119"/>
      <c r="F244" s="119"/>
      <c r="G244" s="119"/>
      <c r="H244" s="125">
        <f>ROUND(+H190/$D$223,3)</f>
        <v>0.82499999999999996</v>
      </c>
      <c r="I244" s="120"/>
      <c r="J244" s="120"/>
    </row>
    <row r="245" spans="1:10" x14ac:dyDescent="0.35">
      <c r="A245" s="14"/>
      <c r="C245" s="120"/>
      <c r="D245" s="120"/>
      <c r="E245" s="120"/>
      <c r="F245" s="120"/>
      <c r="G245" s="120"/>
      <c r="H245" s="120"/>
      <c r="I245" s="120"/>
      <c r="J245" s="120"/>
    </row>
    <row r="246" spans="1:10" ht="13.15" x14ac:dyDescent="0.4">
      <c r="A246" s="14"/>
      <c r="B246" s="3" t="s">
        <v>157</v>
      </c>
      <c r="C246" s="126">
        <f t="shared" ref="C246" si="45">ROUND(+C192/$D$223,3)</f>
        <v>1.157</v>
      </c>
      <c r="D246" s="126">
        <f>ROUND(+D192/$D$223,3)</f>
        <v>0.98</v>
      </c>
      <c r="E246" s="126">
        <f>ROUND(+E192/$D$223,3)</f>
        <v>0.90100000000000002</v>
      </c>
      <c r="F246" s="126">
        <f>ROUND(+F192/$D$223,3)</f>
        <v>0.63200000000000001</v>
      </c>
      <c r="G246" s="126">
        <f>ROUND(+G192/$D$223,3)</f>
        <v>0.624</v>
      </c>
      <c r="H246" s="125">
        <f>ROUND(+H192/$D$223,3)</f>
        <v>1.157</v>
      </c>
      <c r="I246" s="120"/>
      <c r="J246" s="120"/>
    </row>
    <row r="247" spans="1:10" x14ac:dyDescent="0.35">
      <c r="A247" s="14"/>
    </row>
    <row r="248" spans="1:10" x14ac:dyDescent="0.35">
      <c r="A248" s="54" t="s">
        <v>151</v>
      </c>
      <c r="B248" s="90" t="s">
        <v>140</v>
      </c>
    </row>
    <row r="249" spans="1:10" x14ac:dyDescent="0.35">
      <c r="A249" s="54"/>
      <c r="B249" s="90"/>
    </row>
    <row r="250" spans="1:10" ht="13.15" x14ac:dyDescent="0.4">
      <c r="A250" s="14"/>
      <c r="B250" s="33" t="s">
        <v>158</v>
      </c>
    </row>
    <row r="251" spans="1:10" x14ac:dyDescent="0.35">
      <c r="A251" s="14"/>
      <c r="B251" s="12" t="s">
        <v>159</v>
      </c>
    </row>
    <row r="252" spans="1:10" x14ac:dyDescent="0.35">
      <c r="A252" s="14"/>
    </row>
    <row r="253" spans="1:10" ht="13.15" x14ac:dyDescent="0.4">
      <c r="A253" s="14"/>
      <c r="C253" s="86" t="str">
        <f>+H6</f>
        <v>SC2 Dem</v>
      </c>
      <c r="D253" s="86" t="str">
        <f>+C253</f>
        <v>SC2 Dem</v>
      </c>
      <c r="E253" s="19"/>
      <c r="F253" s="19"/>
      <c r="G253" s="127" t="s">
        <v>134</v>
      </c>
    </row>
    <row r="254" spans="1:10" ht="13.15" x14ac:dyDescent="0.4">
      <c r="A254" s="14"/>
      <c r="C254" s="35" t="s">
        <v>160</v>
      </c>
      <c r="D254" s="35" t="s">
        <v>161</v>
      </c>
      <c r="E254" s="19"/>
      <c r="F254" s="19"/>
      <c r="G254" s="48"/>
    </row>
    <row r="255" spans="1:10" ht="13.15" x14ac:dyDescent="0.4">
      <c r="A255" s="14"/>
      <c r="B255" s="21" t="s">
        <v>64</v>
      </c>
      <c r="C255" s="118">
        <f>ROUND(+C210/$D$223,3)</f>
        <v>0.86099999999999999</v>
      </c>
      <c r="D255" s="128">
        <f>+C198-C210</f>
        <v>-36.094713464141023</v>
      </c>
      <c r="F255" s="61"/>
      <c r="G255" s="94" t="s">
        <v>135</v>
      </c>
    </row>
    <row r="256" spans="1:10" ht="13.15" x14ac:dyDescent="0.4">
      <c r="A256" s="14"/>
      <c r="B256" s="129"/>
      <c r="C256" s="119"/>
      <c r="D256" s="33"/>
      <c r="E256" s="121"/>
      <c r="F256" s="130"/>
      <c r="G256" s="48"/>
    </row>
    <row r="257" spans="1:10" ht="13.15" x14ac:dyDescent="0.4">
      <c r="A257" s="14"/>
      <c r="B257" s="60"/>
      <c r="C257" s="119"/>
      <c r="D257" s="33"/>
      <c r="E257" s="121"/>
      <c r="F257" s="130"/>
      <c r="G257" s="48"/>
      <c r="H257" s="35"/>
      <c r="I257" s="86" t="s">
        <v>12</v>
      </c>
      <c r="J257" s="86"/>
    </row>
    <row r="258" spans="1:10" ht="13.15" x14ac:dyDescent="0.4">
      <c r="A258" s="14"/>
      <c r="C258" s="119"/>
      <c r="D258" s="33"/>
      <c r="E258" s="119"/>
      <c r="F258" s="130"/>
      <c r="G258" s="48"/>
    </row>
    <row r="259" spans="1:10" ht="13.15" x14ac:dyDescent="0.4">
      <c r="A259" s="14"/>
      <c r="B259" s="21" t="s">
        <v>70</v>
      </c>
      <c r="C259" s="118">
        <f>ROUND(+C214/$D$223,3)</f>
        <v>0.96699999999999997</v>
      </c>
      <c r="D259" s="128">
        <f>+C202-C214</f>
        <v>-41.848104580039305</v>
      </c>
      <c r="E259" s="121"/>
      <c r="F259" s="130"/>
      <c r="G259" s="131" t="s">
        <v>100</v>
      </c>
      <c r="H259" s="87"/>
      <c r="I259" s="58">
        <f>H213</f>
        <v>7.05</v>
      </c>
      <c r="J259" s="58"/>
    </row>
    <row r="260" spans="1:10" ht="13.15" x14ac:dyDescent="0.4">
      <c r="A260" s="14"/>
      <c r="B260" s="129"/>
      <c r="C260" s="119"/>
      <c r="E260" s="121"/>
      <c r="F260" s="130"/>
      <c r="G260" s="131" t="s">
        <v>106</v>
      </c>
      <c r="H260" s="87"/>
      <c r="I260" s="58">
        <f>H214</f>
        <v>8.16</v>
      </c>
      <c r="J260" s="58"/>
    </row>
    <row r="261" spans="1:10" ht="13.15" x14ac:dyDescent="0.4">
      <c r="A261" s="14"/>
      <c r="B261" s="60"/>
      <c r="C261" s="119"/>
      <c r="E261" s="121"/>
      <c r="F261" s="130"/>
      <c r="G261" s="131"/>
      <c r="H261" s="58"/>
      <c r="I261" s="75"/>
    </row>
    <row r="262" spans="1:10" x14ac:dyDescent="0.35">
      <c r="A262" s="14"/>
      <c r="C262" s="120"/>
      <c r="E262" s="120"/>
      <c r="G262" s="132" t="s">
        <v>136</v>
      </c>
    </row>
    <row r="263" spans="1:10" x14ac:dyDescent="0.35">
      <c r="A263" s="14"/>
      <c r="B263" s="3" t="s">
        <v>142</v>
      </c>
      <c r="C263" s="126">
        <f>ROUND(+C218/$D$223,3)</f>
        <v>0.92800000000000005</v>
      </c>
      <c r="E263" s="120"/>
      <c r="G263" s="131" t="s">
        <v>138</v>
      </c>
      <c r="H263" s="58">
        <f>+G206</f>
        <v>4.4800000000000004</v>
      </c>
      <c r="I263" s="75" t="s">
        <v>139</v>
      </c>
    </row>
    <row r="264" spans="1:10" x14ac:dyDescent="0.35">
      <c r="A264" s="14"/>
      <c r="C264" s="120"/>
      <c r="E264" s="120"/>
    </row>
    <row r="265" spans="1:10" x14ac:dyDescent="0.35">
      <c r="A265" s="14"/>
      <c r="C265" s="120"/>
      <c r="E265" s="120"/>
    </row>
    <row r="266" spans="1:10" ht="13.15" x14ac:dyDescent="0.4">
      <c r="A266" s="54" t="s">
        <v>162</v>
      </c>
      <c r="B266" s="13" t="s">
        <v>163</v>
      </c>
    </row>
    <row r="267" spans="1:10" ht="13.15" x14ac:dyDescent="0.4">
      <c r="A267" s="14"/>
      <c r="B267" s="33"/>
    </row>
    <row r="268" spans="1:10" ht="13.15" x14ac:dyDescent="0.4">
      <c r="A268" s="14"/>
      <c r="B268" s="33" t="s">
        <v>153</v>
      </c>
    </row>
    <row r="269" spans="1:10" x14ac:dyDescent="0.35">
      <c r="A269" s="14"/>
      <c r="B269" s="8" t="s">
        <v>164</v>
      </c>
    </row>
    <row r="270" spans="1:10" x14ac:dyDescent="0.35">
      <c r="A270" s="14"/>
      <c r="B270" s="12" t="s">
        <v>61</v>
      </c>
    </row>
    <row r="271" spans="1:10" ht="13.15" x14ac:dyDescent="0.4">
      <c r="A271" s="14"/>
      <c r="C271" s="35" t="str">
        <f t="shared" ref="C271" si="46">+C6</f>
        <v>SC1</v>
      </c>
      <c r="D271" s="35" t="str">
        <f>+D6</f>
        <v>SC3</v>
      </c>
      <c r="E271" s="35" t="str">
        <f>+E6</f>
        <v>SC2 ND</v>
      </c>
      <c r="F271" s="35" t="str">
        <f>+F6</f>
        <v>SC4</v>
      </c>
      <c r="G271" s="35" t="str">
        <f>+G6</f>
        <v>SC6</v>
      </c>
      <c r="H271" s="35" t="str">
        <f>$I$24</f>
        <v>SC1 TOD</v>
      </c>
    </row>
    <row r="272" spans="1:10" ht="13.15" x14ac:dyDescent="0.4">
      <c r="A272" s="14"/>
      <c r="C272" s="19"/>
      <c r="D272" s="58"/>
      <c r="E272" s="19"/>
    </row>
    <row r="273" spans="1:9" x14ac:dyDescent="0.35">
      <c r="A273" s="14"/>
      <c r="B273" s="21" t="s">
        <v>64</v>
      </c>
      <c r="C273" s="84">
        <f t="shared" ref="C273" si="47">C181-C$167</f>
        <v>120.86028407098861</v>
      </c>
      <c r="D273" s="84">
        <f>D181-D$167</f>
        <v>99.224832259619859</v>
      </c>
      <c r="E273" s="84">
        <f>E181-E$167</f>
        <v>100.76155503034968</v>
      </c>
      <c r="F273" s="84">
        <f>F181-F$167</f>
        <v>77.023187321464121</v>
      </c>
      <c r="G273" s="84">
        <f>G181-G$167</f>
        <v>76.683294313480971</v>
      </c>
      <c r="H273" s="58">
        <f>H181-H$167</f>
        <v>120.86028407098861</v>
      </c>
    </row>
    <row r="274" spans="1:9" x14ac:dyDescent="0.35">
      <c r="A274" s="14"/>
      <c r="B274" s="60" t="s">
        <v>79</v>
      </c>
      <c r="C274" s="58"/>
      <c r="D274" s="84">
        <f>D182-D$167</f>
        <v>146.14731396615755</v>
      </c>
      <c r="E274" s="58"/>
      <c r="F274" s="58"/>
      <c r="G274" s="58"/>
      <c r="H274" s="61">
        <f>H182-H$167</f>
        <v>215.85196690941183</v>
      </c>
    </row>
    <row r="275" spans="1:9" x14ac:dyDescent="0.35">
      <c r="A275" s="14"/>
      <c r="B275" s="60" t="s">
        <v>80</v>
      </c>
      <c r="C275" s="58"/>
      <c r="D275" s="84">
        <f>D183-D$167</f>
        <v>65.958158192242763</v>
      </c>
      <c r="E275" s="58"/>
      <c r="F275" s="58"/>
      <c r="G275" s="58"/>
      <c r="H275" s="61">
        <f>H183-H$167</f>
        <v>78.36688609256224</v>
      </c>
    </row>
    <row r="276" spans="1:9" x14ac:dyDescent="0.35">
      <c r="A276" s="14"/>
      <c r="B276" s="37" t="s">
        <v>130</v>
      </c>
      <c r="C276" s="58">
        <f>(C273*SUM(C49:C52)-C158*10*E157*SUM(C49:C52))/SUM(C49:C52)</f>
        <v>66.839463070988614</v>
      </c>
      <c r="D276" s="84"/>
      <c r="E276" s="58"/>
      <c r="F276" s="58"/>
      <c r="G276" s="58"/>
    </row>
    <row r="277" spans="1:9" x14ac:dyDescent="0.35">
      <c r="A277" s="14"/>
      <c r="B277" s="37" t="s">
        <v>131</v>
      </c>
      <c r="C277" s="58">
        <f>C276+C158*10</f>
        <v>161.62946307098861</v>
      </c>
      <c r="D277" s="84"/>
      <c r="E277" s="58"/>
      <c r="F277" s="58"/>
      <c r="G277" s="58"/>
    </row>
    <row r="278" spans="1:9" x14ac:dyDescent="0.35">
      <c r="A278" s="14"/>
      <c r="B278" s="58"/>
      <c r="C278" s="58"/>
      <c r="D278" s="84"/>
      <c r="E278" s="58"/>
      <c r="F278" s="58"/>
      <c r="G278" s="58"/>
    </row>
    <row r="279" spans="1:9" x14ac:dyDescent="0.35">
      <c r="A279" s="14"/>
      <c r="C279" s="58"/>
      <c r="D279" s="58"/>
      <c r="E279" s="58"/>
      <c r="F279" s="58"/>
      <c r="G279" s="58"/>
    </row>
    <row r="280" spans="1:9" x14ac:dyDescent="0.35">
      <c r="A280" s="14"/>
      <c r="B280" s="21" t="s">
        <v>70</v>
      </c>
      <c r="C280" s="84">
        <f t="shared" ref="C280" si="48">C188-C$167</f>
        <v>141.78608748163117</v>
      </c>
      <c r="D280" s="84">
        <f>D188-D$167</f>
        <v>112.53439664439927</v>
      </c>
      <c r="E280" s="84">
        <f>E188-E$167</f>
        <v>108.68422581185321</v>
      </c>
      <c r="F280" s="84">
        <f>F188-F$167</f>
        <v>87.208514022942339</v>
      </c>
      <c r="G280" s="84">
        <f>G188-G$167</f>
        <v>86.174523969689147</v>
      </c>
      <c r="H280" s="58">
        <f>H188-H$167</f>
        <v>141.78608748163117</v>
      </c>
    </row>
    <row r="281" spans="1:9" x14ac:dyDescent="0.35">
      <c r="A281" s="14"/>
      <c r="B281" s="60" t="s">
        <v>79</v>
      </c>
      <c r="C281" s="58"/>
      <c r="D281" s="84">
        <f>D189-D$167</f>
        <v>163.71690008393767</v>
      </c>
      <c r="E281" s="58"/>
      <c r="F281" s="58"/>
      <c r="G281" s="58"/>
      <c r="H281" s="61">
        <f>H189-H$167</f>
        <v>308.50895670223605</v>
      </c>
    </row>
    <row r="282" spans="1:9" x14ac:dyDescent="0.35">
      <c r="A282" s="14"/>
      <c r="B282" s="60" t="s">
        <v>80</v>
      </c>
      <c r="C282" s="58"/>
      <c r="D282" s="84">
        <f>D190-D$167</f>
        <v>82.673404401896079</v>
      </c>
      <c r="E282" s="58"/>
      <c r="F282" s="58"/>
      <c r="G282" s="58"/>
      <c r="H282" s="61">
        <f>H190-H$167</f>
        <v>88.208935082394945</v>
      </c>
    </row>
    <row r="283" spans="1:9" x14ac:dyDescent="0.35">
      <c r="A283" s="14"/>
      <c r="C283" s="58"/>
      <c r="D283" s="58"/>
      <c r="E283" s="58"/>
      <c r="F283" s="58"/>
      <c r="G283" s="58"/>
    </row>
    <row r="284" spans="1:9" x14ac:dyDescent="0.35">
      <c r="A284" s="14"/>
      <c r="B284" s="3" t="s">
        <v>132</v>
      </c>
      <c r="C284" s="84">
        <f t="shared" ref="C284" si="49">C192-C$167</f>
        <v>132.56347312426647</v>
      </c>
      <c r="D284" s="84">
        <f>D192-D$167</f>
        <v>107.50711458552013</v>
      </c>
      <c r="E284" s="84">
        <f>E192-E$167</f>
        <v>106.38452107406059</v>
      </c>
      <c r="F284" s="84">
        <f>F192-F$167</f>
        <v>84.356420806955242</v>
      </c>
      <c r="G284" s="84">
        <f>G192-G$167</f>
        <v>83.355634573938417</v>
      </c>
      <c r="H284" s="58">
        <f>H192-H$167</f>
        <v>132.56347312426647</v>
      </c>
    </row>
    <row r="285" spans="1:9" x14ac:dyDescent="0.35">
      <c r="A285" s="14"/>
      <c r="C285" s="58"/>
      <c r="D285" s="58"/>
      <c r="E285" s="58"/>
      <c r="F285" s="58"/>
      <c r="G285" s="58"/>
      <c r="H285" s="58"/>
      <c r="I285" s="58"/>
    </row>
    <row r="286" spans="1:9" x14ac:dyDescent="0.35">
      <c r="A286" s="54" t="s">
        <v>162</v>
      </c>
      <c r="B286" s="90" t="s">
        <v>140</v>
      </c>
      <c r="C286" s="58"/>
      <c r="D286" s="58"/>
      <c r="E286" s="58"/>
      <c r="F286" s="58"/>
      <c r="G286" s="58"/>
      <c r="H286" s="58"/>
      <c r="I286" s="58"/>
    </row>
    <row r="287" spans="1:9" x14ac:dyDescent="0.35">
      <c r="A287" s="14"/>
      <c r="C287" s="58"/>
      <c r="D287" s="58"/>
      <c r="E287" s="58"/>
      <c r="F287" s="58"/>
      <c r="G287" s="58"/>
      <c r="H287" s="58"/>
      <c r="I287" s="58"/>
    </row>
    <row r="288" spans="1:9" ht="13.15" x14ac:dyDescent="0.4">
      <c r="A288" s="14"/>
      <c r="B288" s="33" t="s">
        <v>158</v>
      </c>
    </row>
    <row r="289" spans="1:10" x14ac:dyDescent="0.35">
      <c r="A289" s="14"/>
      <c r="B289" s="8" t="s">
        <v>165</v>
      </c>
    </row>
    <row r="290" spans="1:10" x14ac:dyDescent="0.35">
      <c r="A290" s="14"/>
      <c r="B290" s="14" t="s">
        <v>166</v>
      </c>
    </row>
    <row r="291" spans="1:10" x14ac:dyDescent="0.35">
      <c r="A291" s="14"/>
      <c r="B291" s="14"/>
    </row>
    <row r="292" spans="1:10" ht="13.15" x14ac:dyDescent="0.4">
      <c r="A292" s="14"/>
      <c r="C292" s="35" t="str">
        <f>+H6</f>
        <v>SC2 Dem</v>
      </c>
      <c r="D292" s="19"/>
      <c r="E292" s="19"/>
      <c r="G292" s="33" t="s">
        <v>134</v>
      </c>
    </row>
    <row r="293" spans="1:10" ht="13.15" x14ac:dyDescent="0.4">
      <c r="A293" s="14"/>
      <c r="C293" s="19"/>
      <c r="D293" s="19"/>
      <c r="F293" s="33"/>
    </row>
    <row r="294" spans="1:10" x14ac:dyDescent="0.35">
      <c r="A294" s="14"/>
      <c r="B294" s="21" t="s">
        <v>64</v>
      </c>
      <c r="C294" s="58">
        <f>C198</f>
        <v>78.904687786731586</v>
      </c>
      <c r="D294" s="58"/>
      <c r="G294" s="85" t="s">
        <v>135</v>
      </c>
    </row>
    <row r="295" spans="1:10" x14ac:dyDescent="0.35">
      <c r="A295" s="14"/>
      <c r="B295" s="60"/>
      <c r="C295" s="58"/>
      <c r="D295" s="58"/>
    </row>
    <row r="296" spans="1:10" ht="13.15" x14ac:dyDescent="0.4">
      <c r="A296" s="14"/>
      <c r="B296" s="60"/>
      <c r="C296" s="58"/>
      <c r="D296" s="58"/>
      <c r="H296" s="35"/>
      <c r="I296" s="35" t="str">
        <f t="shared" ref="I296" si="50">I257</f>
        <v>SC2 Dem</v>
      </c>
      <c r="J296" s="35"/>
    </row>
    <row r="297" spans="1:10" x14ac:dyDescent="0.35">
      <c r="A297" s="14"/>
      <c r="C297" s="58"/>
      <c r="D297" s="58"/>
    </row>
    <row r="298" spans="1:10" x14ac:dyDescent="0.35">
      <c r="A298" s="14"/>
      <c r="B298" s="21" t="s">
        <v>70</v>
      </c>
      <c r="C298" s="58">
        <f>C202</f>
        <v>87.298463792169898</v>
      </c>
      <c r="D298" s="58"/>
      <c r="G298" s="37" t="s">
        <v>100</v>
      </c>
      <c r="H298" s="87"/>
      <c r="I298" s="87">
        <f t="shared" ref="I298:I299" si="51">I259</f>
        <v>7.05</v>
      </c>
      <c r="J298" s="87"/>
    </row>
    <row r="299" spans="1:10" x14ac:dyDescent="0.35">
      <c r="A299" s="14"/>
      <c r="B299" s="60"/>
      <c r="C299" s="58"/>
      <c r="D299" s="58"/>
      <c r="G299" s="37" t="s">
        <v>106</v>
      </c>
      <c r="H299" s="87"/>
      <c r="I299" s="87">
        <f t="shared" si="51"/>
        <v>8.16</v>
      </c>
      <c r="J299" s="87"/>
    </row>
    <row r="300" spans="1:10" x14ac:dyDescent="0.35">
      <c r="A300" s="14"/>
      <c r="B300" s="60"/>
      <c r="C300" s="58"/>
      <c r="D300" s="58"/>
    </row>
    <row r="301" spans="1:10" x14ac:dyDescent="0.35">
      <c r="A301" s="14"/>
      <c r="B301" s="60"/>
      <c r="C301" s="58"/>
      <c r="D301" s="58"/>
      <c r="G301" s="89"/>
      <c r="I301" s="75"/>
    </row>
    <row r="302" spans="1:10" x14ac:dyDescent="0.35">
      <c r="A302" s="14"/>
      <c r="B302" s="3" t="s">
        <v>137</v>
      </c>
      <c r="C302" s="58">
        <f>C206</f>
        <v>84.171645068708671</v>
      </c>
      <c r="D302" s="58"/>
      <c r="G302" s="37"/>
      <c r="H302" s="62"/>
      <c r="I302" s="75"/>
    </row>
    <row r="303" spans="1:10" x14ac:dyDescent="0.35">
      <c r="A303" s="14"/>
      <c r="C303" s="58"/>
      <c r="D303" s="58"/>
    </row>
    <row r="304" spans="1:10" x14ac:dyDescent="0.35">
      <c r="A304" s="14"/>
      <c r="B304" s="133" t="s">
        <v>167</v>
      </c>
      <c r="C304" s="58"/>
      <c r="D304" s="58"/>
      <c r="E304" s="61"/>
    </row>
    <row r="305" spans="1:14" x14ac:dyDescent="0.35">
      <c r="A305" s="14"/>
      <c r="B305" s="21" t="s">
        <v>64</v>
      </c>
      <c r="C305" s="84">
        <f>(C294*Q48+($I298*($M$223/4*H144)))/Q48</f>
        <v>103.00860711197532</v>
      </c>
      <c r="D305" s="84"/>
      <c r="E305" s="82"/>
    </row>
    <row r="306" spans="1:14" x14ac:dyDescent="0.35">
      <c r="A306" s="14"/>
      <c r="B306" s="60"/>
      <c r="C306" s="58"/>
      <c r="D306" s="84"/>
      <c r="N306" s="84"/>
    </row>
    <row r="307" spans="1:14" x14ac:dyDescent="0.35">
      <c r="A307" s="14"/>
      <c r="B307" s="60"/>
      <c r="C307" s="58"/>
      <c r="D307" s="84"/>
      <c r="N307" s="58"/>
    </row>
    <row r="308" spans="1:14" x14ac:dyDescent="0.35">
      <c r="A308" s="14"/>
      <c r="C308" s="58"/>
      <c r="D308" s="58"/>
      <c r="N308" s="58"/>
    </row>
    <row r="309" spans="1:14" x14ac:dyDescent="0.35">
      <c r="A309" s="14"/>
      <c r="B309" s="21" t="s">
        <v>70</v>
      </c>
      <c r="C309" s="84">
        <f>(C298*Q44+($I299*($M$224/8*H145)))/Q44</f>
        <v>114.9094908280377</v>
      </c>
      <c r="D309" s="84"/>
      <c r="N309" s="58"/>
    </row>
    <row r="310" spans="1:14" x14ac:dyDescent="0.35">
      <c r="A310" s="14"/>
      <c r="B310" s="60"/>
      <c r="C310" s="58"/>
      <c r="D310" s="84"/>
      <c r="N310" s="84"/>
    </row>
    <row r="311" spans="1:14" x14ac:dyDescent="0.35">
      <c r="A311" s="14"/>
      <c r="B311" s="60"/>
      <c r="C311" s="58"/>
      <c r="D311" s="84"/>
      <c r="N311" s="58"/>
    </row>
    <row r="312" spans="1:14" x14ac:dyDescent="0.35">
      <c r="A312" s="14"/>
      <c r="B312" s="60"/>
      <c r="C312" s="58"/>
      <c r="D312" s="58"/>
      <c r="N312" s="58"/>
    </row>
    <row r="313" spans="1:14" x14ac:dyDescent="0.35">
      <c r="A313" s="14"/>
      <c r="B313" s="3" t="s">
        <v>142</v>
      </c>
      <c r="C313" s="84">
        <f>(C302*H56+($I298*($M$223/4*H144))+($I299*($M$224/8*H145)))/H56</f>
        <v>110.47621717324762</v>
      </c>
      <c r="D313" s="84"/>
      <c r="N313" s="58"/>
    </row>
    <row r="314" spans="1:14" x14ac:dyDescent="0.35">
      <c r="A314" s="14"/>
      <c r="C314" s="64"/>
      <c r="D314" s="64"/>
      <c r="N314" s="84"/>
    </row>
    <row r="315" spans="1:14" ht="13.15" x14ac:dyDescent="0.4">
      <c r="A315" s="14"/>
      <c r="B315" s="33" t="s">
        <v>143</v>
      </c>
      <c r="C315" s="58"/>
      <c r="D315" s="58"/>
    </row>
    <row r="316" spans="1:14" x14ac:dyDescent="0.35">
      <c r="A316" s="14"/>
      <c r="B316" s="37" t="s">
        <v>144</v>
      </c>
      <c r="C316" s="109">
        <f>(+SUMPRODUCT(C284:G284,C56:G56)+SUMPRODUCT(C313,H56))/1000</f>
        <v>140885.60629130478</v>
      </c>
    </row>
    <row r="317" spans="1:14" x14ac:dyDescent="0.35">
      <c r="A317" s="14"/>
      <c r="C317" s="37" t="s">
        <v>146</v>
      </c>
      <c r="D317" s="84">
        <f>+C316/SUM(C56:H56)*1000</f>
        <v>124.80812821988759</v>
      </c>
      <c r="E317" s="3" t="s">
        <v>147</v>
      </c>
    </row>
    <row r="318" spans="1:14" x14ac:dyDescent="0.35">
      <c r="A318" s="14"/>
      <c r="C318" s="37" t="s">
        <v>168</v>
      </c>
      <c r="D318" s="84">
        <f>+C316/SUMPRODUCT(C56:H56,C81:H81)*1000</f>
        <v>115.91552484970973</v>
      </c>
      <c r="E318" s="3" t="s">
        <v>169</v>
      </c>
    </row>
    <row r="319" spans="1:14" x14ac:dyDescent="0.35">
      <c r="A319" s="14"/>
    </row>
    <row r="320" spans="1:14" ht="13.15" x14ac:dyDescent="0.4">
      <c r="A320" s="54" t="s">
        <v>170</v>
      </c>
      <c r="B320" s="13" t="s">
        <v>171</v>
      </c>
    </row>
    <row r="321" spans="1:10" ht="13.15" x14ac:dyDescent="0.4">
      <c r="A321" s="14"/>
      <c r="B321" s="33"/>
    </row>
    <row r="322" spans="1:10" ht="13.15" x14ac:dyDescent="0.4">
      <c r="A322" s="14"/>
      <c r="B322" s="33" t="s">
        <v>153</v>
      </c>
    </row>
    <row r="323" spans="1:10" x14ac:dyDescent="0.35">
      <c r="A323" s="14"/>
      <c r="B323" s="12" t="s">
        <v>154</v>
      </c>
    </row>
    <row r="324" spans="1:10" ht="13.15" x14ac:dyDescent="0.4">
      <c r="A324" s="14"/>
      <c r="B324" s="33"/>
    </row>
    <row r="325" spans="1:10" ht="13.15" x14ac:dyDescent="0.4">
      <c r="A325" s="14"/>
      <c r="C325" s="35" t="str">
        <f t="shared" ref="C325" si="52">+C6</f>
        <v>SC1</v>
      </c>
      <c r="D325" s="35" t="str">
        <f>+D6</f>
        <v>SC3</v>
      </c>
      <c r="E325" s="35" t="str">
        <f>+E6</f>
        <v>SC2 ND</v>
      </c>
      <c r="F325" s="35" t="str">
        <f>+F6</f>
        <v>SC4</v>
      </c>
      <c r="G325" s="35" t="str">
        <f>+G6</f>
        <v>SC6</v>
      </c>
      <c r="H325" s="35" t="str">
        <f>$I$24</f>
        <v>SC1 TOD</v>
      </c>
    </row>
    <row r="326" spans="1:10" ht="13.15" x14ac:dyDescent="0.4">
      <c r="A326" s="14"/>
      <c r="C326" s="19"/>
      <c r="D326" s="19"/>
      <c r="E326" s="19"/>
    </row>
    <row r="327" spans="1:10" ht="13.15" x14ac:dyDescent="0.4">
      <c r="A327" s="14"/>
      <c r="B327" s="21" t="s">
        <v>64</v>
      </c>
      <c r="C327" s="118">
        <f>ROUND(+C273/$D$318,3)</f>
        <v>1.0429999999999999</v>
      </c>
      <c r="D327" s="119"/>
      <c r="E327" s="118">
        <f>ROUND(+E273/$D$318,3)</f>
        <v>0.86899999999999999</v>
      </c>
      <c r="F327" s="118">
        <f>ROUND(+F273/$D$318,3)</f>
        <v>0.66400000000000003</v>
      </c>
      <c r="G327" s="118">
        <f>ROUND(+G273/$D$318,3)</f>
        <v>0.66200000000000003</v>
      </c>
      <c r="H327" s="134"/>
      <c r="I327" s="120"/>
      <c r="J327" s="120"/>
    </row>
    <row r="328" spans="1:10" ht="13.15" x14ac:dyDescent="0.4">
      <c r="A328" s="14"/>
      <c r="B328" s="60" t="s">
        <v>79</v>
      </c>
      <c r="C328" s="119"/>
      <c r="D328" s="118">
        <f>ROUND(+D274/$D$318,3)</f>
        <v>1.2609999999999999</v>
      </c>
      <c r="E328" s="119"/>
      <c r="F328" s="119"/>
      <c r="G328" s="119"/>
      <c r="H328" s="135">
        <f>ROUND(+H274/$D$318,3)</f>
        <v>1.8620000000000001</v>
      </c>
      <c r="I328" s="120"/>
      <c r="J328" s="120"/>
    </row>
    <row r="329" spans="1:10" ht="13.15" x14ac:dyDescent="0.4">
      <c r="A329" s="14"/>
      <c r="B329" s="60" t="s">
        <v>80</v>
      </c>
      <c r="C329" s="119"/>
      <c r="D329" s="118">
        <f>ROUND(+D275/$D$318,3)</f>
        <v>0.56899999999999995</v>
      </c>
      <c r="E329" s="119"/>
      <c r="F329" s="119"/>
      <c r="G329" s="119"/>
      <c r="H329" s="135">
        <f>ROUND(+H275/$D$318,3)</f>
        <v>0.67600000000000005</v>
      </c>
      <c r="I329" s="120"/>
      <c r="J329" s="120"/>
    </row>
    <row r="330" spans="1:10" ht="13.15" x14ac:dyDescent="0.4">
      <c r="A330" s="14"/>
      <c r="C330" s="119"/>
      <c r="D330" s="119"/>
      <c r="E330" s="119"/>
      <c r="F330" s="119"/>
      <c r="G330" s="119"/>
      <c r="H330" s="134"/>
      <c r="I330" s="120"/>
      <c r="J330" s="120"/>
    </row>
    <row r="331" spans="1:10" ht="13.15" x14ac:dyDescent="0.4">
      <c r="A331" s="14"/>
      <c r="B331" s="86"/>
      <c r="D331" s="119"/>
      <c r="E331" s="119"/>
      <c r="F331" s="119"/>
      <c r="G331" s="119"/>
      <c r="H331" s="134"/>
      <c r="I331" s="120"/>
      <c r="J331" s="120"/>
    </row>
    <row r="332" spans="1:10" ht="13.15" x14ac:dyDescent="0.4">
      <c r="A332" s="14"/>
      <c r="B332" s="122" t="s">
        <v>155</v>
      </c>
      <c r="C332" s="123">
        <f>C276-C273</f>
        <v>-54.020820999999998</v>
      </c>
      <c r="D332" s="119"/>
      <c r="E332" s="119"/>
      <c r="F332" s="119"/>
      <c r="G332" s="119"/>
      <c r="H332" s="134"/>
      <c r="I332" s="120"/>
      <c r="J332" s="120"/>
    </row>
    <row r="333" spans="1:10" ht="13.15" x14ac:dyDescent="0.4">
      <c r="A333" s="14"/>
      <c r="B333" s="122" t="s">
        <v>156</v>
      </c>
      <c r="C333" s="123">
        <f>C277-C273</f>
        <v>40.769178999999994</v>
      </c>
      <c r="D333" s="119"/>
      <c r="E333" s="119"/>
      <c r="F333" s="119"/>
      <c r="G333" s="119"/>
      <c r="H333" s="134"/>
      <c r="I333" s="120"/>
      <c r="J333" s="120"/>
    </row>
    <row r="334" spans="1:10" ht="13.15" x14ac:dyDescent="0.4">
      <c r="A334" s="14"/>
      <c r="B334" s="119"/>
      <c r="C334" s="119"/>
      <c r="D334" s="119"/>
      <c r="E334" s="119"/>
      <c r="F334" s="119"/>
      <c r="G334" s="119"/>
      <c r="H334" s="134"/>
      <c r="I334" s="120"/>
      <c r="J334" s="120"/>
    </row>
    <row r="335" spans="1:10" ht="13.15" x14ac:dyDescent="0.4">
      <c r="A335" s="14"/>
      <c r="C335" s="119"/>
      <c r="D335" s="119"/>
      <c r="E335" s="119"/>
      <c r="F335" s="119"/>
      <c r="G335" s="119"/>
      <c r="H335" s="134"/>
      <c r="I335" s="120"/>
      <c r="J335" s="120"/>
    </row>
    <row r="336" spans="1:10" ht="13.15" x14ac:dyDescent="0.4">
      <c r="A336" s="14"/>
      <c r="B336" s="21" t="s">
        <v>70</v>
      </c>
      <c r="C336" s="118">
        <f>ROUND(+C280/$D$318,3)</f>
        <v>1.2230000000000001</v>
      </c>
      <c r="D336" s="124"/>
      <c r="E336" s="118">
        <f>ROUND(+E280/$D$318,3)</f>
        <v>0.93799999999999994</v>
      </c>
      <c r="F336" s="118">
        <f>ROUND(+F280/$D$318,3)</f>
        <v>0.752</v>
      </c>
      <c r="G336" s="118">
        <f>ROUND(+G280/$D$318,3)</f>
        <v>0.74299999999999999</v>
      </c>
      <c r="H336" s="134"/>
      <c r="I336" s="120"/>
      <c r="J336" s="120"/>
    </row>
    <row r="337" spans="1:10" ht="13.15" x14ac:dyDescent="0.4">
      <c r="A337" s="14"/>
      <c r="B337" s="60" t="s">
        <v>79</v>
      </c>
      <c r="C337" s="119"/>
      <c r="D337" s="118">
        <f>ROUND(+D281/$D$318,3)</f>
        <v>1.4119999999999999</v>
      </c>
      <c r="E337" s="119"/>
      <c r="F337" s="119"/>
      <c r="G337" s="119"/>
      <c r="H337" s="135">
        <f>ROUND(+H281/$D$318,3)</f>
        <v>2.661</v>
      </c>
      <c r="I337" s="120"/>
      <c r="J337" s="120"/>
    </row>
    <row r="338" spans="1:10" ht="13.15" x14ac:dyDescent="0.4">
      <c r="A338" s="14"/>
      <c r="B338" s="60" t="s">
        <v>80</v>
      </c>
      <c r="C338" s="119"/>
      <c r="D338" s="118">
        <f>ROUND(+D282/$D$318,3)</f>
        <v>0.71299999999999997</v>
      </c>
      <c r="E338" s="119"/>
      <c r="F338" s="119"/>
      <c r="G338" s="119"/>
      <c r="H338" s="135">
        <f>ROUND(+H282/$D$318,3)</f>
        <v>0.76100000000000001</v>
      </c>
      <c r="I338" s="120"/>
      <c r="J338" s="120"/>
    </row>
    <row r="339" spans="1:10" x14ac:dyDescent="0.35">
      <c r="A339" s="14"/>
      <c r="C339" s="120"/>
      <c r="D339" s="120"/>
      <c r="E339" s="120"/>
      <c r="F339" s="120"/>
      <c r="G339" s="120"/>
      <c r="H339" s="126"/>
      <c r="I339" s="120"/>
      <c r="J339" s="120"/>
    </row>
    <row r="340" spans="1:10" x14ac:dyDescent="0.35">
      <c r="A340" s="14"/>
      <c r="B340" s="3" t="s">
        <v>157</v>
      </c>
      <c r="C340" s="124">
        <f>ROUND(+C284/$D$318,3)</f>
        <v>1.1439999999999999</v>
      </c>
      <c r="D340" s="124">
        <f>ROUND(+D284/$D$318,3)</f>
        <v>0.92700000000000005</v>
      </c>
      <c r="E340" s="124">
        <f>ROUND(,3)+E284/$D$318</f>
        <v>0.91777629624671442</v>
      </c>
      <c r="F340" s="124">
        <f>ROUND(+F284/$D$318,3)</f>
        <v>0.72799999999999998</v>
      </c>
      <c r="G340" s="124">
        <f>ROUND(+G284/$D$318,3)</f>
        <v>0.71899999999999997</v>
      </c>
      <c r="H340" s="126">
        <f>ROUND(+H284/$D$318,3)</f>
        <v>1.1439999999999999</v>
      </c>
      <c r="I340" s="120"/>
      <c r="J340" s="120"/>
    </row>
    <row r="341" spans="1:10" x14ac:dyDescent="0.35">
      <c r="A341" s="14"/>
    </row>
    <row r="342" spans="1:10" x14ac:dyDescent="0.35">
      <c r="A342" s="14"/>
    </row>
    <row r="343" spans="1:10" ht="13.15" x14ac:dyDescent="0.4">
      <c r="A343" s="14"/>
      <c r="B343" s="33" t="s">
        <v>158</v>
      </c>
    </row>
    <row r="344" spans="1:10" x14ac:dyDescent="0.35">
      <c r="A344" s="14"/>
      <c r="B344" s="12" t="s">
        <v>172</v>
      </c>
    </row>
    <row r="345" spans="1:10" x14ac:dyDescent="0.35">
      <c r="A345" s="14"/>
    </row>
    <row r="346" spans="1:10" ht="13.15" x14ac:dyDescent="0.4">
      <c r="A346" s="14"/>
      <c r="C346" s="86" t="str">
        <f>+H6</f>
        <v>SC2 Dem</v>
      </c>
      <c r="D346" s="86" t="str">
        <f>+C346</f>
        <v>SC2 Dem</v>
      </c>
      <c r="E346" s="19"/>
      <c r="F346" s="19"/>
      <c r="G346" s="127" t="s">
        <v>134</v>
      </c>
    </row>
    <row r="347" spans="1:10" ht="13.15" x14ac:dyDescent="0.4">
      <c r="A347" s="14"/>
      <c r="C347" s="35" t="s">
        <v>160</v>
      </c>
      <c r="D347" s="136" t="s">
        <v>161</v>
      </c>
      <c r="E347" s="19"/>
      <c r="F347" s="19"/>
      <c r="G347" s="48"/>
    </row>
    <row r="348" spans="1:10" ht="13.15" x14ac:dyDescent="0.4">
      <c r="A348" s="14"/>
      <c r="B348" s="21" t="s">
        <v>64</v>
      </c>
      <c r="C348" s="118">
        <f>ROUND(+C305/$D$318,3)</f>
        <v>0.88900000000000001</v>
      </c>
      <c r="D348" s="137">
        <f>C294-C305</f>
        <v>-24.103919325243737</v>
      </c>
      <c r="F348" s="61"/>
      <c r="G348" s="94" t="s">
        <v>135</v>
      </c>
    </row>
    <row r="349" spans="1:10" ht="13.15" x14ac:dyDescent="0.4">
      <c r="A349" s="14"/>
      <c r="B349" s="60"/>
      <c r="C349" s="124"/>
      <c r="D349" s="137"/>
      <c r="E349" s="121"/>
      <c r="F349" s="130"/>
      <c r="G349" s="48"/>
    </row>
    <row r="350" spans="1:10" ht="13.15" x14ac:dyDescent="0.4">
      <c r="A350" s="14"/>
      <c r="B350" s="60"/>
      <c r="C350" s="124"/>
      <c r="D350" s="137"/>
      <c r="E350" s="121"/>
      <c r="F350" s="130"/>
      <c r="G350" s="48"/>
      <c r="H350" s="35"/>
      <c r="I350" s="35" t="str">
        <f t="shared" ref="I350" si="53">I296</f>
        <v>SC2 Dem</v>
      </c>
      <c r="J350" s="35"/>
    </row>
    <row r="351" spans="1:10" ht="13.15" x14ac:dyDescent="0.4">
      <c r="A351" s="14"/>
      <c r="C351" s="124"/>
      <c r="D351" s="137"/>
      <c r="E351" s="119"/>
      <c r="F351" s="130"/>
      <c r="G351" s="48"/>
    </row>
    <row r="352" spans="1:10" ht="13.15" x14ac:dyDescent="0.4">
      <c r="A352" s="14"/>
      <c r="B352" s="21" t="s">
        <v>70</v>
      </c>
      <c r="C352" s="118">
        <f>ROUND(+C309/$D$318,3)</f>
        <v>0.99099999999999999</v>
      </c>
      <c r="D352" s="137">
        <f>C298-C309</f>
        <v>-27.611027035867806</v>
      </c>
      <c r="E352" s="121"/>
      <c r="F352" s="130"/>
      <c r="G352" s="131" t="s">
        <v>100</v>
      </c>
      <c r="H352" s="87"/>
      <c r="I352" s="87">
        <f t="shared" ref="I352:I353" si="54">I298</f>
        <v>7.05</v>
      </c>
      <c r="J352" s="87"/>
    </row>
    <row r="353" spans="1:13" ht="13.15" x14ac:dyDescent="0.4">
      <c r="A353" s="14"/>
      <c r="B353" s="60"/>
      <c r="C353" s="124"/>
      <c r="D353" s="138"/>
      <c r="E353" s="121"/>
      <c r="F353" s="130"/>
      <c r="G353" s="131" t="s">
        <v>106</v>
      </c>
      <c r="H353" s="87"/>
      <c r="I353" s="87">
        <f t="shared" si="54"/>
        <v>8.16</v>
      </c>
      <c r="J353" s="87"/>
    </row>
    <row r="354" spans="1:13" ht="13.15" x14ac:dyDescent="0.4">
      <c r="A354" s="14"/>
      <c r="B354" s="60"/>
      <c r="C354" s="124"/>
      <c r="D354" s="138"/>
      <c r="E354" s="121"/>
      <c r="F354" s="130"/>
      <c r="G354" s="131"/>
      <c r="H354" s="58"/>
      <c r="I354" s="75"/>
    </row>
    <row r="355" spans="1:13" x14ac:dyDescent="0.35">
      <c r="A355" s="14"/>
      <c r="C355" s="126"/>
      <c r="D355" s="138"/>
      <c r="E355" s="120"/>
      <c r="G355" s="132"/>
    </row>
    <row r="356" spans="1:13" ht="13.15" x14ac:dyDescent="0.4">
      <c r="A356" s="14"/>
      <c r="B356" s="3" t="s">
        <v>142</v>
      </c>
      <c r="C356" s="118">
        <f>ROUND(+C313/$D$318,3)</f>
        <v>0.95299999999999996</v>
      </c>
      <c r="D356" s="138"/>
      <c r="E356" s="120"/>
      <c r="G356" s="131"/>
      <c r="H356" s="58"/>
      <c r="I356" s="75"/>
    </row>
    <row r="357" spans="1:13" x14ac:dyDescent="0.35">
      <c r="A357" s="14"/>
    </row>
    <row r="358" spans="1:13" x14ac:dyDescent="0.35">
      <c r="A358" s="14"/>
      <c r="C358" s="120"/>
      <c r="E358" s="120"/>
    </row>
    <row r="359" spans="1:13" ht="13.15" x14ac:dyDescent="0.4">
      <c r="A359" s="54" t="s">
        <v>173</v>
      </c>
      <c r="B359" s="33" t="s">
        <v>174</v>
      </c>
    </row>
    <row r="360" spans="1:13" ht="13.15" x14ac:dyDescent="0.4">
      <c r="A360" s="14"/>
      <c r="B360" s="33"/>
    </row>
    <row r="361" spans="1:13" ht="13.15" x14ac:dyDescent="0.4">
      <c r="A361" s="14"/>
      <c r="C361" s="35" t="str">
        <f t="shared" ref="C361:H361" si="55">C6</f>
        <v>SC1</v>
      </c>
      <c r="D361" s="35" t="str">
        <f t="shared" si="55"/>
        <v>SC3</v>
      </c>
      <c r="E361" s="35" t="str">
        <f t="shared" si="55"/>
        <v>SC2 ND</v>
      </c>
      <c r="F361" s="35" t="str">
        <f t="shared" si="55"/>
        <v>SC4</v>
      </c>
      <c r="G361" s="35" t="str">
        <f t="shared" si="55"/>
        <v>SC6</v>
      </c>
      <c r="H361" s="35" t="str">
        <f t="shared" si="55"/>
        <v>SC2 Dem</v>
      </c>
      <c r="I361" s="35" t="str">
        <f>$I$24</f>
        <v>SC1 TOD</v>
      </c>
      <c r="J361" s="19"/>
    </row>
    <row r="362" spans="1:13" x14ac:dyDescent="0.35">
      <c r="A362" s="14"/>
      <c r="B362" s="3" t="s">
        <v>175</v>
      </c>
      <c r="L362" s="61"/>
      <c r="M362" s="61"/>
    </row>
    <row r="363" spans="1:13" x14ac:dyDescent="0.35">
      <c r="A363" s="14"/>
      <c r="B363" s="55" t="s">
        <v>69</v>
      </c>
      <c r="C363" s="109">
        <f>(C184*SUM(C49:C52)*E156+C185*SUM(C49:C52)*E157)/1000</f>
        <v>47072.767534654769</v>
      </c>
      <c r="D363" s="65">
        <f>+D181*SUM(D49:D52)/1000</f>
        <v>14.595677130937899</v>
      </c>
      <c r="E363" s="65">
        <f>+E181*SUM(E49:E52)/1000</f>
        <v>399.90766364796747</v>
      </c>
      <c r="F363" s="65">
        <f>+F181*SUM(F49:F52)/1000</f>
        <v>130.66983729086388</v>
      </c>
      <c r="G363" s="65">
        <f>+G181*SUM(G49:G52)/1000</f>
        <v>111.57419322611482</v>
      </c>
      <c r="H363" s="109">
        <f>(C198*SUM(H49:H52)/1000)+($H202*('Backup Calcs'!G95/4*H144)/1000)+($G206*$H144*H141)</f>
        <v>15320.154297221068</v>
      </c>
      <c r="I363" s="109">
        <f>+H181*SUM(C49:C52)/1000</f>
        <v>47072.767534654769</v>
      </c>
      <c r="J363" s="65"/>
      <c r="L363" s="61"/>
      <c r="M363" s="61"/>
    </row>
    <row r="364" spans="1:13" x14ac:dyDescent="0.35">
      <c r="A364" s="14"/>
      <c r="B364" s="55" t="s">
        <v>62</v>
      </c>
      <c r="C364" s="109">
        <f t="shared" ref="C364" si="56">+C188*SUM(C44:C48,C53:C55)/1000</f>
        <v>68486.716740925054</v>
      </c>
      <c r="D364" s="65">
        <f>+D188*SUM(D44:D48,D53:D55)/1000</f>
        <v>26.656472088249789</v>
      </c>
      <c r="E364" s="65">
        <f>+E188*SUM(E44:E48,E53:E55)/1000</f>
        <v>1045.3556140147225</v>
      </c>
      <c r="F364" s="65">
        <f>+F188*SUM(F44:F48,F53:F55)/1000</f>
        <v>380.40353816807453</v>
      </c>
      <c r="G364" s="65">
        <f>+G188*SUM(G44:G48,G53:G55)/1000</f>
        <v>296.78506055160943</v>
      </c>
      <c r="H364" s="109">
        <f>(C202*SUM(H44:H48,H53:H55)/1000)+($H203*('Backup Calcs'!G96/8*H145)/1000)+($G206*$H145*H141)</f>
        <v>28980.610036385337</v>
      </c>
      <c r="I364" s="109">
        <f>+H188*SUM(C44:C48,C53:C55)/1000</f>
        <v>68486.716740925054</v>
      </c>
      <c r="J364" s="65"/>
    </row>
    <row r="365" spans="1:13" x14ac:dyDescent="0.35">
      <c r="A365" s="14"/>
      <c r="B365" s="55" t="s">
        <v>36</v>
      </c>
      <c r="C365" s="139">
        <f>+C364+C363</f>
        <v>115559.48427557983</v>
      </c>
      <c r="D365" s="63">
        <f t="shared" ref="D365:I365" si="57">+D364+D363</f>
        <v>41.252149219187686</v>
      </c>
      <c r="E365" s="63">
        <f t="shared" si="57"/>
        <v>1445.2632776626899</v>
      </c>
      <c r="F365" s="63">
        <f t="shared" si="57"/>
        <v>511.07337545893841</v>
      </c>
      <c r="G365" s="65">
        <f t="shared" si="57"/>
        <v>408.35925377772423</v>
      </c>
      <c r="H365" s="65">
        <f t="shared" si="57"/>
        <v>44300.764333606407</v>
      </c>
      <c r="I365" s="63">
        <f t="shared" si="57"/>
        <v>115559.48427557983</v>
      </c>
      <c r="J365" s="65"/>
    </row>
    <row r="366" spans="1:13" x14ac:dyDescent="0.35">
      <c r="A366" s="14"/>
      <c r="B366" s="55"/>
    </row>
    <row r="367" spans="1:13" x14ac:dyDescent="0.35">
      <c r="A367" s="14"/>
      <c r="B367" s="3" t="s">
        <v>176</v>
      </c>
    </row>
    <row r="368" spans="1:13" x14ac:dyDescent="0.35">
      <c r="A368" s="14"/>
      <c r="B368" s="55" t="s">
        <v>69</v>
      </c>
      <c r="C368" s="27">
        <f t="shared" ref="C368:I368" si="58">+C363/C365</f>
        <v>0.40734663909020441</v>
      </c>
      <c r="D368" s="27">
        <f t="shared" si="58"/>
        <v>0.35381616248369879</v>
      </c>
      <c r="E368" s="27">
        <f t="shared" si="58"/>
        <v>0.27670229350510206</v>
      </c>
      <c r="F368" s="27">
        <f t="shared" si="58"/>
        <v>0.25567725411937919</v>
      </c>
      <c r="G368" s="27">
        <f t="shared" si="58"/>
        <v>0.27322557819847088</v>
      </c>
      <c r="H368" s="27">
        <f t="shared" si="58"/>
        <v>0.34582144411443599</v>
      </c>
      <c r="I368" s="27">
        <f t="shared" si="58"/>
        <v>0.40734663909020441</v>
      </c>
      <c r="J368" s="27"/>
    </row>
    <row r="369" spans="1:14" x14ac:dyDescent="0.35">
      <c r="A369" s="14"/>
      <c r="B369" s="55" t="s">
        <v>62</v>
      </c>
      <c r="C369" s="27">
        <f t="shared" ref="C369:I369" si="59">+C364/C365</f>
        <v>0.59265336090979548</v>
      </c>
      <c r="D369" s="27">
        <f t="shared" si="59"/>
        <v>0.64618383751630126</v>
      </c>
      <c r="E369" s="27">
        <f t="shared" si="59"/>
        <v>0.723297706494898</v>
      </c>
      <c r="F369" s="27">
        <f t="shared" si="59"/>
        <v>0.74432274588062086</v>
      </c>
      <c r="G369" s="27">
        <f t="shared" si="59"/>
        <v>0.72677442180152918</v>
      </c>
      <c r="H369" s="27">
        <f t="shared" si="59"/>
        <v>0.65417855588556395</v>
      </c>
      <c r="I369" s="27">
        <f t="shared" si="59"/>
        <v>0.59265336090979548</v>
      </c>
      <c r="J369" s="27"/>
    </row>
    <row r="370" spans="1:14" x14ac:dyDescent="0.35">
      <c r="A370" s="14"/>
    </row>
    <row r="371" spans="1:14" x14ac:dyDescent="0.35">
      <c r="A371" s="14"/>
      <c r="B371" s="3" t="s">
        <v>177</v>
      </c>
    </row>
    <row r="372" spans="1:14" x14ac:dyDescent="0.35">
      <c r="A372" s="14"/>
      <c r="B372" s="55" t="s">
        <v>69</v>
      </c>
      <c r="C372" s="140">
        <f>+SUM(C363:H363)</f>
        <v>63049.669203171718</v>
      </c>
    </row>
    <row r="373" spans="1:14" x14ac:dyDescent="0.35">
      <c r="A373" s="14"/>
      <c r="B373" s="55" t="s">
        <v>62</v>
      </c>
      <c r="C373" s="140">
        <f>+SUM(C364:H364)</f>
        <v>99216.527462133046</v>
      </c>
    </row>
    <row r="374" spans="1:14" x14ac:dyDescent="0.35">
      <c r="A374" s="14"/>
      <c r="B374" s="55" t="s">
        <v>36</v>
      </c>
      <c r="C374" s="63">
        <f>+C373+C372</f>
        <v>162266.19666530477</v>
      </c>
    </row>
    <row r="375" spans="1:14" x14ac:dyDescent="0.35">
      <c r="A375" s="14"/>
    </row>
    <row r="376" spans="1:14" x14ac:dyDescent="0.35">
      <c r="A376" s="14"/>
      <c r="B376" s="3" t="s">
        <v>178</v>
      </c>
      <c r="D376" s="3" t="s">
        <v>179</v>
      </c>
      <c r="I376" s="379" t="s">
        <v>180</v>
      </c>
      <c r="J376" s="379"/>
    </row>
    <row r="377" spans="1:14" ht="13.15" x14ac:dyDescent="0.4">
      <c r="A377" s="14"/>
      <c r="B377" s="55" t="s">
        <v>69</v>
      </c>
      <c r="C377" s="27">
        <f>+C372/C374</f>
        <v>0.38855701618014687</v>
      </c>
      <c r="E377" s="84">
        <f>+C372/SUMPRODUCT(L48:Q48,C81:H81)*1000</f>
        <v>124.69306495287613</v>
      </c>
      <c r="F377" s="3" t="s">
        <v>181</v>
      </c>
      <c r="I377" s="55" t="s">
        <v>69</v>
      </c>
      <c r="J377" s="141">
        <f>ROUND(E377/$D$223,4)</f>
        <v>0.93400000000000005</v>
      </c>
      <c r="K377" s="141"/>
    </row>
    <row r="378" spans="1:14" ht="13.15" x14ac:dyDescent="0.4">
      <c r="A378" s="14"/>
      <c r="B378" s="55" t="s">
        <v>62</v>
      </c>
      <c r="C378" s="27">
        <f>+C373/C374</f>
        <v>0.61144298381985307</v>
      </c>
      <c r="E378" s="84">
        <f>+C373/SUMPRODUCT(L44:Q44,C81:H81)*1000</f>
        <v>139.78544200284296</v>
      </c>
      <c r="F378" s="3" t="s">
        <v>181</v>
      </c>
      <c r="I378" s="55" t="s">
        <v>62</v>
      </c>
      <c r="J378" s="141">
        <f>ROUND(E378/$D$223,4)</f>
        <v>1.0469999999999999</v>
      </c>
      <c r="K378" s="141"/>
    </row>
    <row r="379" spans="1:14" x14ac:dyDescent="0.35">
      <c r="A379" s="14"/>
    </row>
    <row r="380" spans="1:14" x14ac:dyDescent="0.35">
      <c r="A380" s="14"/>
      <c r="C380" s="120"/>
      <c r="E380" s="120"/>
    </row>
    <row r="381" spans="1:14" ht="13.15" x14ac:dyDescent="0.4">
      <c r="A381" s="54" t="s">
        <v>182</v>
      </c>
      <c r="B381" s="13" t="s">
        <v>183</v>
      </c>
    </row>
    <row r="382" spans="1:14" ht="13.15" x14ac:dyDescent="0.4">
      <c r="A382" s="14"/>
      <c r="B382" s="33"/>
    </row>
    <row r="383" spans="1:14" ht="13.15" x14ac:dyDescent="0.4">
      <c r="A383" s="14"/>
      <c r="C383" s="35" t="str">
        <f t="shared" ref="C383:H383" si="60">C6</f>
        <v>SC1</v>
      </c>
      <c r="D383" s="35" t="str">
        <f t="shared" si="60"/>
        <v>SC3</v>
      </c>
      <c r="E383" s="35" t="str">
        <f t="shared" si="60"/>
        <v>SC2 ND</v>
      </c>
      <c r="F383" s="35" t="str">
        <f t="shared" si="60"/>
        <v>SC4</v>
      </c>
      <c r="G383" s="35" t="str">
        <f t="shared" si="60"/>
        <v>SC6</v>
      </c>
      <c r="H383" s="35" t="str">
        <f t="shared" si="60"/>
        <v>SC2 Dem</v>
      </c>
      <c r="I383" s="35" t="str">
        <f>I24</f>
        <v>SC1 TOD</v>
      </c>
      <c r="J383" s="19"/>
    </row>
    <row r="384" spans="1:14" x14ac:dyDescent="0.35">
      <c r="A384" s="14"/>
      <c r="B384" s="3" t="s">
        <v>175</v>
      </c>
      <c r="L384" s="109"/>
      <c r="N384" s="109"/>
    </row>
    <row r="385" spans="1:14" x14ac:dyDescent="0.35">
      <c r="A385" s="14"/>
      <c r="B385" s="55" t="s">
        <v>69</v>
      </c>
      <c r="C385" s="109">
        <f>(C276*SUM(C49:C52)*E156+C277*SUM(C49:C52)*E157)/1000</f>
        <v>39838.752427325722</v>
      </c>
      <c r="D385" s="109">
        <f>+D273*SUM(D49:D52)/1000</f>
        <v>11.813417171649368</v>
      </c>
      <c r="E385" s="109">
        <f>+E273*SUM(E49:E52)/1000</f>
        <v>351.35554239082938</v>
      </c>
      <c r="F385" s="109">
        <f>+F273*SUM(F49:F52)/1000</f>
        <v>130.66983729086388</v>
      </c>
      <c r="G385" s="109">
        <f>+G273*SUM(G49:G52)/1000</f>
        <v>111.57419322611482</v>
      </c>
      <c r="H385" s="109">
        <f>(C294*SUM(H49:H52)/1000)+($I298*($M$223/4*H144)/1000)</f>
        <v>13722.747577221067</v>
      </c>
      <c r="I385" s="109">
        <f>H273*SUM(C49:C52)/1000</f>
        <v>39838.752427325722</v>
      </c>
      <c r="J385" s="109"/>
      <c r="L385" s="109"/>
      <c r="N385" s="109"/>
    </row>
    <row r="386" spans="1:14" x14ac:dyDescent="0.35">
      <c r="A386" s="14"/>
      <c r="B386" s="55" t="s">
        <v>62</v>
      </c>
      <c r="C386" s="109">
        <f t="shared" ref="C386" si="61">+C280*SUM(C44:C48,C53:C55)/1000</f>
        <v>59306.993602254093</v>
      </c>
      <c r="D386" s="109">
        <f>+D280*SUM(D44:D48,D53:D55)/1000</f>
        <v>22.072790047538316</v>
      </c>
      <c r="E386" s="109">
        <f>+E280*SUM(E44:E48,E53:E55)/1000</f>
        <v>926.64170927186046</v>
      </c>
      <c r="F386" s="109">
        <f>+F280*SUM(F44:F48,F53:F55)/1000</f>
        <v>380.40353816807453</v>
      </c>
      <c r="G386" s="109">
        <f>+G280*SUM(G44:G48,G53:G55)/1000</f>
        <v>296.78506055160943</v>
      </c>
      <c r="H386" s="109">
        <f>(C298*SUM(H44:H48,H53:H55)/1000)+($I299*($L$385/8*H145)/1000)+($J299*($L$390/8*H145)/1000)</f>
        <v>19589.856453985332</v>
      </c>
      <c r="I386" s="109">
        <f>+H280*SUM(C44:C48,C53:C55)/1000</f>
        <v>59306.993602254093</v>
      </c>
      <c r="J386" s="109"/>
      <c r="L386" s="109"/>
      <c r="N386" s="109"/>
    </row>
    <row r="387" spans="1:14" x14ac:dyDescent="0.35">
      <c r="A387" s="14"/>
      <c r="B387" s="55" t="s">
        <v>36</v>
      </c>
      <c r="C387" s="63">
        <f t="shared" ref="C387:I387" si="62">+C386+C385</f>
        <v>99145.746029579808</v>
      </c>
      <c r="D387" s="63">
        <f t="shared" si="62"/>
        <v>33.886207219187682</v>
      </c>
      <c r="E387" s="63">
        <f t="shared" si="62"/>
        <v>1277.9972516626899</v>
      </c>
      <c r="F387" s="63">
        <f t="shared" si="62"/>
        <v>511.07337545893841</v>
      </c>
      <c r="G387" s="65">
        <f t="shared" si="62"/>
        <v>408.35925377772423</v>
      </c>
      <c r="H387" s="65">
        <f t="shared" si="62"/>
        <v>33312.6040312064</v>
      </c>
      <c r="I387" s="65">
        <f t="shared" si="62"/>
        <v>99145.746029579808</v>
      </c>
      <c r="J387" s="65"/>
    </row>
    <row r="388" spans="1:14" x14ac:dyDescent="0.35">
      <c r="A388" s="14"/>
      <c r="B388" s="55"/>
    </row>
    <row r="389" spans="1:14" x14ac:dyDescent="0.35">
      <c r="A389" s="14"/>
      <c r="B389" s="3" t="s">
        <v>176</v>
      </c>
    </row>
    <row r="390" spans="1:14" x14ac:dyDescent="0.35">
      <c r="A390" s="14"/>
      <c r="B390" s="55" t="s">
        <v>69</v>
      </c>
      <c r="C390" s="27">
        <f t="shared" ref="C390:I390" si="63">+C385/C387</f>
        <v>0.40182008833177735</v>
      </c>
      <c r="D390" s="27">
        <f t="shared" si="63"/>
        <v>0.34862022460159409</v>
      </c>
      <c r="E390" s="27">
        <f t="shared" si="63"/>
        <v>0.27492668073715459</v>
      </c>
      <c r="F390" s="27">
        <f t="shared" si="63"/>
        <v>0.25567725411937919</v>
      </c>
      <c r="G390" s="27">
        <f t="shared" si="63"/>
        <v>0.27322557819847088</v>
      </c>
      <c r="H390" s="27">
        <f t="shared" si="63"/>
        <v>0.41193860330960458</v>
      </c>
      <c r="I390" s="27">
        <f t="shared" si="63"/>
        <v>0.40182008833177735</v>
      </c>
      <c r="J390" s="27"/>
    </row>
    <row r="391" spans="1:14" x14ac:dyDescent="0.35">
      <c r="A391" s="14"/>
      <c r="B391" s="55" t="s">
        <v>62</v>
      </c>
      <c r="C391" s="27">
        <f t="shared" ref="C391:I391" si="64">+C386/C387</f>
        <v>0.59817991166822271</v>
      </c>
      <c r="D391" s="27">
        <f t="shared" si="64"/>
        <v>0.65137977539840597</v>
      </c>
      <c r="E391" s="27">
        <f t="shared" si="64"/>
        <v>0.72507331926284535</v>
      </c>
      <c r="F391" s="27">
        <f t="shared" si="64"/>
        <v>0.74432274588062086</v>
      </c>
      <c r="G391" s="27">
        <f t="shared" si="64"/>
        <v>0.72677442180152918</v>
      </c>
      <c r="H391" s="27">
        <f t="shared" si="64"/>
        <v>0.58806139669039548</v>
      </c>
      <c r="I391" s="27">
        <f t="shared" si="64"/>
        <v>0.59817991166822271</v>
      </c>
      <c r="J391" s="27"/>
    </row>
    <row r="392" spans="1:14" x14ac:dyDescent="0.35">
      <c r="A392" s="14"/>
    </row>
    <row r="393" spans="1:14" x14ac:dyDescent="0.35">
      <c r="A393" s="14"/>
      <c r="B393" s="3" t="s">
        <v>177</v>
      </c>
    </row>
    <row r="394" spans="1:14" x14ac:dyDescent="0.35">
      <c r="A394" s="14"/>
      <c r="B394" s="55" t="s">
        <v>69</v>
      </c>
      <c r="C394" s="140">
        <f>+SUM(C385:H385)</f>
        <v>54166.912994626255</v>
      </c>
    </row>
    <row r="395" spans="1:14" x14ac:dyDescent="0.35">
      <c r="A395" s="14"/>
      <c r="B395" s="55" t="s">
        <v>62</v>
      </c>
      <c r="C395" s="140">
        <f>+SUM(C386:H386)</f>
        <v>80522.7531542785</v>
      </c>
    </row>
    <row r="396" spans="1:14" x14ac:dyDescent="0.35">
      <c r="A396" s="14"/>
      <c r="B396" s="55" t="s">
        <v>36</v>
      </c>
      <c r="C396" s="63">
        <f>+C395+C394</f>
        <v>134689.66614890477</v>
      </c>
    </row>
    <row r="397" spans="1:14" x14ac:dyDescent="0.35">
      <c r="A397" s="14"/>
    </row>
    <row r="398" spans="1:14" x14ac:dyDescent="0.35">
      <c r="A398" s="14"/>
      <c r="B398" s="3" t="s">
        <v>178</v>
      </c>
      <c r="D398" s="3" t="s">
        <v>179</v>
      </c>
      <c r="I398" s="379" t="s">
        <v>180</v>
      </c>
      <c r="J398" s="379"/>
    </row>
    <row r="399" spans="1:14" ht="13.15" x14ac:dyDescent="0.4">
      <c r="A399" s="14"/>
      <c r="B399" s="55" t="s">
        <v>69</v>
      </c>
      <c r="C399" s="27">
        <f>+C394/C396</f>
        <v>0.40216086759575587</v>
      </c>
      <c r="E399" s="84">
        <f>+C394/SUMPRODUCT(L48:Q48,C81:H81)*1000</f>
        <v>107.12567545074367</v>
      </c>
      <c r="F399" s="3" t="s">
        <v>181</v>
      </c>
      <c r="I399" s="55" t="s">
        <v>69</v>
      </c>
      <c r="J399" s="141">
        <f>ROUND(E399/$D$318,4)</f>
        <v>0.92420000000000002</v>
      </c>
      <c r="K399" s="142"/>
    </row>
    <row r="400" spans="1:14" ht="13.15" x14ac:dyDescent="0.4">
      <c r="A400" s="14"/>
      <c r="B400" s="55" t="s">
        <v>62</v>
      </c>
      <c r="C400" s="27">
        <f>+C395/C396</f>
        <v>0.59783913240424402</v>
      </c>
      <c r="E400" s="84">
        <f>+C395/SUMPRODUCT(L44:Q44,C81:H81)*1000</f>
        <v>113.44791970523826</v>
      </c>
      <c r="F400" s="3" t="s">
        <v>181</v>
      </c>
      <c r="I400" s="55" t="s">
        <v>62</v>
      </c>
      <c r="J400" s="141">
        <f>ROUND(E400/$D$318,4)</f>
        <v>0.97870000000000001</v>
      </c>
      <c r="K400" s="142"/>
    </row>
    <row r="401" spans="1:10" x14ac:dyDescent="0.35">
      <c r="A401" s="14"/>
    </row>
    <row r="402" spans="1:10" x14ac:dyDescent="0.35">
      <c r="C402" s="63"/>
      <c r="D402" s="63"/>
      <c r="E402" s="63"/>
      <c r="F402" s="63"/>
      <c r="G402" s="63"/>
      <c r="H402" s="63"/>
      <c r="I402" s="63"/>
      <c r="J402" s="63"/>
    </row>
    <row r="403" spans="1:10" ht="13.15" x14ac:dyDescent="0.4">
      <c r="A403" s="54" t="s">
        <v>184</v>
      </c>
      <c r="B403" s="33" t="s">
        <v>185</v>
      </c>
    </row>
    <row r="404" spans="1:10" x14ac:dyDescent="0.35">
      <c r="A404" s="54"/>
    </row>
    <row r="405" spans="1:10" ht="13.15" x14ac:dyDescent="0.4">
      <c r="A405" s="54"/>
      <c r="E405" s="47"/>
      <c r="F405" s="33" t="s">
        <v>186</v>
      </c>
      <c r="I405" s="13" t="s">
        <v>187</v>
      </c>
    </row>
    <row r="406" spans="1:10" ht="13.15" x14ac:dyDescent="0.4">
      <c r="B406" s="13" t="s">
        <v>188</v>
      </c>
      <c r="E406" s="47"/>
      <c r="F406" s="33" t="s">
        <v>189</v>
      </c>
      <c r="I406" s="13" t="s">
        <v>190</v>
      </c>
    </row>
    <row r="407" spans="1:10" ht="13.15" x14ac:dyDescent="0.4">
      <c r="A407" s="14"/>
      <c r="B407" s="12" t="s">
        <v>61</v>
      </c>
      <c r="C407" s="37"/>
      <c r="D407" s="86" t="s">
        <v>191</v>
      </c>
      <c r="E407" s="143"/>
      <c r="F407" s="12" t="s">
        <v>61</v>
      </c>
      <c r="I407" s="144" t="s">
        <v>192</v>
      </c>
    </row>
    <row r="408" spans="1:10" ht="13.15" x14ac:dyDescent="0.4">
      <c r="A408" s="14"/>
      <c r="C408" s="35" t="s">
        <v>49</v>
      </c>
      <c r="D408" s="35" t="s">
        <v>193</v>
      </c>
      <c r="E408" s="145" t="s">
        <v>50</v>
      </c>
      <c r="F408" s="35" t="s">
        <v>49</v>
      </c>
      <c r="G408" s="35" t="s">
        <v>50</v>
      </c>
      <c r="I408" s="35" t="s">
        <v>49</v>
      </c>
      <c r="J408" s="35" t="s">
        <v>50</v>
      </c>
    </row>
    <row r="409" spans="1:10" x14ac:dyDescent="0.35">
      <c r="A409" s="14"/>
      <c r="B409" s="21" t="s">
        <v>13</v>
      </c>
      <c r="C409" s="51">
        <v>101.55</v>
      </c>
      <c r="D409" s="372">
        <v>0.80029290029730349</v>
      </c>
      <c r="E409" s="373">
        <f>ROUND(C409*D409,2)</f>
        <v>81.27</v>
      </c>
      <c r="F409" s="27">
        <v>0.88425318771631534</v>
      </c>
      <c r="G409" s="27">
        <v>0.90159563598775505</v>
      </c>
      <c r="I409" s="51">
        <f t="shared" ref="I409:I420" si="65">ROUND(C409*F409,2)</f>
        <v>89.8</v>
      </c>
      <c r="J409" s="51">
        <f t="shared" ref="J409:J420" si="66">ROUND(E409*G409,2)</f>
        <v>73.27</v>
      </c>
    </row>
    <row r="410" spans="1:10" x14ac:dyDescent="0.35">
      <c r="A410" s="14"/>
      <c r="B410" s="21" t="s">
        <v>14</v>
      </c>
      <c r="C410" s="51">
        <v>90.6</v>
      </c>
      <c r="D410" s="372">
        <f>D409</f>
        <v>0.80029290029730349</v>
      </c>
      <c r="E410" s="373">
        <f t="shared" ref="E410:E420" si="67">ROUND(C410*D410,2)</f>
        <v>72.510000000000005</v>
      </c>
      <c r="F410" s="27">
        <v>0.88425318771631534</v>
      </c>
      <c r="G410" s="27">
        <v>0.90159563598775505</v>
      </c>
      <c r="I410" s="51">
        <f t="shared" si="65"/>
        <v>80.11</v>
      </c>
      <c r="J410" s="51">
        <f t="shared" si="66"/>
        <v>65.37</v>
      </c>
    </row>
    <row r="411" spans="1:10" x14ac:dyDescent="0.35">
      <c r="A411" s="14"/>
      <c r="B411" s="21" t="s">
        <v>15</v>
      </c>
      <c r="C411" s="51">
        <v>61.65</v>
      </c>
      <c r="D411" s="372">
        <f>D409</f>
        <v>0.80029290029730349</v>
      </c>
      <c r="E411" s="373">
        <f t="shared" si="67"/>
        <v>49.34</v>
      </c>
      <c r="F411" s="27">
        <v>0.88425318771631534</v>
      </c>
      <c r="G411" s="27">
        <v>0.90159563598775505</v>
      </c>
      <c r="I411" s="51">
        <f t="shared" si="65"/>
        <v>54.51</v>
      </c>
      <c r="J411" s="51">
        <f t="shared" si="66"/>
        <v>44.48</v>
      </c>
    </row>
    <row r="412" spans="1:10" x14ac:dyDescent="0.35">
      <c r="A412" s="14"/>
      <c r="B412" s="21" t="s">
        <v>16</v>
      </c>
      <c r="C412" s="51">
        <v>61.95</v>
      </c>
      <c r="D412" s="372">
        <f>D409</f>
        <v>0.80029290029730349</v>
      </c>
      <c r="E412" s="373">
        <f t="shared" si="67"/>
        <v>49.58</v>
      </c>
      <c r="F412" s="27">
        <v>0.88425318771631534</v>
      </c>
      <c r="G412" s="27">
        <v>0.90159563598775505</v>
      </c>
      <c r="I412" s="51">
        <f t="shared" si="65"/>
        <v>54.78</v>
      </c>
      <c r="J412" s="51">
        <f t="shared" si="66"/>
        <v>44.7</v>
      </c>
    </row>
    <row r="413" spans="1:10" x14ac:dyDescent="0.35">
      <c r="A413" s="14"/>
      <c r="B413" s="21" t="s">
        <v>17</v>
      </c>
      <c r="C413" s="51">
        <v>61.15</v>
      </c>
      <c r="D413" s="372">
        <f>D409</f>
        <v>0.80029290029730349</v>
      </c>
      <c r="E413" s="373">
        <f t="shared" si="67"/>
        <v>48.94</v>
      </c>
      <c r="F413" s="27">
        <v>0.88425318771631534</v>
      </c>
      <c r="G413" s="27">
        <v>0.90159563598775505</v>
      </c>
      <c r="I413" s="51">
        <f t="shared" si="65"/>
        <v>54.07</v>
      </c>
      <c r="J413" s="51">
        <f t="shared" si="66"/>
        <v>44.12</v>
      </c>
    </row>
    <row r="414" spans="1:10" x14ac:dyDescent="0.35">
      <c r="A414" s="14"/>
      <c r="B414" s="21" t="s">
        <v>18</v>
      </c>
      <c r="C414" s="51">
        <v>67.3</v>
      </c>
      <c r="D414" s="372">
        <v>0.54899059957335761</v>
      </c>
      <c r="E414" s="373">
        <f t="shared" si="67"/>
        <v>36.950000000000003</v>
      </c>
      <c r="F414" s="27">
        <v>0.83272632957084891</v>
      </c>
      <c r="G414" s="27">
        <v>0.90510517954387126</v>
      </c>
      <c r="I414" s="51">
        <f t="shared" si="65"/>
        <v>56.04</v>
      </c>
      <c r="J414" s="51">
        <f t="shared" si="66"/>
        <v>33.44</v>
      </c>
    </row>
    <row r="415" spans="1:10" x14ac:dyDescent="0.35">
      <c r="A415" s="14"/>
      <c r="B415" s="21" t="s">
        <v>19</v>
      </c>
      <c r="C415" s="51">
        <v>97</v>
      </c>
      <c r="D415" s="372">
        <f>D414</f>
        <v>0.54899059957335761</v>
      </c>
      <c r="E415" s="373">
        <f t="shared" si="67"/>
        <v>53.25</v>
      </c>
      <c r="F415" s="27">
        <v>0.83272632957084891</v>
      </c>
      <c r="G415" s="27">
        <v>0.90510517954387126</v>
      </c>
      <c r="I415" s="51">
        <f t="shared" si="65"/>
        <v>80.77</v>
      </c>
      <c r="J415" s="51">
        <f t="shared" si="66"/>
        <v>48.2</v>
      </c>
    </row>
    <row r="416" spans="1:10" x14ac:dyDescent="0.35">
      <c r="A416" s="14"/>
      <c r="B416" s="21" t="s">
        <v>20</v>
      </c>
      <c r="C416" s="51">
        <v>80.5</v>
      </c>
      <c r="D416" s="372">
        <f>D414</f>
        <v>0.54899059957335761</v>
      </c>
      <c r="E416" s="373">
        <f t="shared" si="67"/>
        <v>44.19</v>
      </c>
      <c r="F416" s="27">
        <v>0.83272632957084891</v>
      </c>
      <c r="G416" s="27">
        <v>0.90510517954387126</v>
      </c>
      <c r="I416" s="51">
        <f t="shared" si="65"/>
        <v>67.03</v>
      </c>
      <c r="J416" s="51">
        <f t="shared" si="66"/>
        <v>40</v>
      </c>
    </row>
    <row r="417" spans="1:19" x14ac:dyDescent="0.35">
      <c r="A417" s="14"/>
      <c r="B417" s="21" t="s">
        <v>21</v>
      </c>
      <c r="C417" s="51">
        <v>68.95</v>
      </c>
      <c r="D417" s="372">
        <f>D414</f>
        <v>0.54899059957335761</v>
      </c>
      <c r="E417" s="373">
        <f t="shared" si="67"/>
        <v>37.85</v>
      </c>
      <c r="F417" s="27">
        <v>0.83</v>
      </c>
      <c r="G417" s="27">
        <v>0.90510517954387126</v>
      </c>
      <c r="I417" s="51">
        <f t="shared" si="65"/>
        <v>57.23</v>
      </c>
      <c r="J417" s="51">
        <f t="shared" si="66"/>
        <v>34.26</v>
      </c>
    </row>
    <row r="418" spans="1:19" x14ac:dyDescent="0.35">
      <c r="A418" s="14"/>
      <c r="B418" s="21" t="s">
        <v>22</v>
      </c>
      <c r="C418" s="51">
        <v>67.150000000000006</v>
      </c>
      <c r="D418" s="372">
        <f>D409</f>
        <v>0.80029290029730349</v>
      </c>
      <c r="E418" s="373">
        <f t="shared" si="67"/>
        <v>53.74</v>
      </c>
      <c r="F418" s="374">
        <f>F409</f>
        <v>0.88425318771631534</v>
      </c>
      <c r="G418" s="27">
        <f>G409</f>
        <v>0.90159563598775505</v>
      </c>
      <c r="I418" s="51">
        <f t="shared" si="65"/>
        <v>59.38</v>
      </c>
      <c r="J418" s="51">
        <f t="shared" si="66"/>
        <v>48.45</v>
      </c>
    </row>
    <row r="419" spans="1:19" x14ac:dyDescent="0.35">
      <c r="A419" s="14"/>
      <c r="B419" s="21" t="s">
        <v>23</v>
      </c>
      <c r="C419" s="51">
        <v>67.3</v>
      </c>
      <c r="D419" s="372">
        <f>D409</f>
        <v>0.80029290029730349</v>
      </c>
      <c r="E419" s="373">
        <f t="shared" si="67"/>
        <v>53.86</v>
      </c>
      <c r="F419" s="374">
        <f t="shared" ref="F419:G420" si="68">F410</f>
        <v>0.88425318771631534</v>
      </c>
      <c r="G419" s="27">
        <f t="shared" si="68"/>
        <v>0.90159563598775505</v>
      </c>
      <c r="I419" s="51">
        <f t="shared" si="65"/>
        <v>59.51</v>
      </c>
      <c r="J419" s="51">
        <f t="shared" si="66"/>
        <v>48.56</v>
      </c>
    </row>
    <row r="420" spans="1:19" x14ac:dyDescent="0.35">
      <c r="A420" s="14"/>
      <c r="B420" s="21" t="s">
        <v>24</v>
      </c>
      <c r="C420" s="51">
        <v>76.8</v>
      </c>
      <c r="D420" s="372">
        <f>D409</f>
        <v>0.80029290029730349</v>
      </c>
      <c r="E420" s="373">
        <f t="shared" si="67"/>
        <v>61.46</v>
      </c>
      <c r="F420" s="374">
        <f t="shared" si="68"/>
        <v>0.88425318771631534</v>
      </c>
      <c r="G420" s="27">
        <f t="shared" si="68"/>
        <v>0.90159563598775505</v>
      </c>
      <c r="I420" s="51">
        <f t="shared" si="65"/>
        <v>67.91</v>
      </c>
      <c r="J420" s="51">
        <f t="shared" si="66"/>
        <v>55.41</v>
      </c>
    </row>
    <row r="421" spans="1:19" x14ac:dyDescent="0.35">
      <c r="A421" s="14"/>
      <c r="B421" s="21"/>
      <c r="C421" s="51"/>
      <c r="D421" s="51"/>
      <c r="E421" s="47"/>
      <c r="K421" s="27"/>
    </row>
    <row r="422" spans="1:19" x14ac:dyDescent="0.35">
      <c r="A422" s="14"/>
      <c r="B422" s="21"/>
      <c r="C422" s="51"/>
      <c r="D422" s="51"/>
      <c r="K422" s="27"/>
    </row>
    <row r="423" spans="1:19" x14ac:dyDescent="0.35">
      <c r="A423" s="14"/>
      <c r="B423" s="21"/>
      <c r="C423" s="51"/>
      <c r="D423" s="51"/>
      <c r="K423" s="27"/>
    </row>
    <row r="424" spans="1:19" ht="13.15" x14ac:dyDescent="0.4">
      <c r="B424" s="33" t="s">
        <v>194</v>
      </c>
      <c r="F424" s="144" t="s">
        <v>195</v>
      </c>
    </row>
    <row r="425" spans="1:19" ht="13.15" x14ac:dyDescent="0.4">
      <c r="B425" s="12" t="s">
        <v>61</v>
      </c>
      <c r="F425" s="13" t="str">
        <f>"system ("&amp;TEXT(D447*100,"0.0")&amp;"% PJM - "&amp;TEXT(E447*100,"0.0")&amp;"% NYISO)"</f>
        <v>system (87.8% PJM - 12.2% NYISO)</v>
      </c>
    </row>
    <row r="426" spans="1:19" x14ac:dyDescent="0.35">
      <c r="B426" s="12"/>
      <c r="F426" s="12" t="s">
        <v>61</v>
      </c>
    </row>
    <row r="427" spans="1:19" ht="13.15" x14ac:dyDescent="0.4">
      <c r="C427" s="35" t="s">
        <v>49</v>
      </c>
      <c r="D427" s="35" t="s">
        <v>50</v>
      </c>
      <c r="G427" s="35" t="s">
        <v>49</v>
      </c>
      <c r="H427" s="35" t="s">
        <v>50</v>
      </c>
    </row>
    <row r="428" spans="1:19" x14ac:dyDescent="0.35">
      <c r="B428" s="21" t="s">
        <v>13</v>
      </c>
      <c r="C428" s="51">
        <v>149</v>
      </c>
      <c r="D428" s="51">
        <v>143.85</v>
      </c>
      <c r="F428" s="21" t="s">
        <v>13</v>
      </c>
      <c r="G428" s="51">
        <f t="shared" ref="G428:H439" si="69">ROUND($K$428*I409+$K$429*C428,2)</f>
        <v>97.05</v>
      </c>
      <c r="H428" s="51">
        <f t="shared" si="69"/>
        <v>81.91</v>
      </c>
      <c r="K428" s="146">
        <f>D447</f>
        <v>0.87757788503729706</v>
      </c>
      <c r="L428" s="3" t="s">
        <v>196</v>
      </c>
      <c r="Q428" s="51">
        <f>AVERAGE(G433:G436)</f>
        <v>65.174999999999997</v>
      </c>
      <c r="R428" s="51">
        <f>AVERAGE(H433:H436)</f>
        <v>39.659999999999997</v>
      </c>
    </row>
    <row r="429" spans="1:19" x14ac:dyDescent="0.35">
      <c r="B429" s="21" t="s">
        <v>14</v>
      </c>
      <c r="C429" s="51">
        <v>135.4</v>
      </c>
      <c r="D429" s="51">
        <v>119.3</v>
      </c>
      <c r="F429" s="21" t="s">
        <v>14</v>
      </c>
      <c r="G429" s="51">
        <f t="shared" si="69"/>
        <v>86.88</v>
      </c>
      <c r="H429" s="51">
        <f t="shared" si="69"/>
        <v>71.97</v>
      </c>
      <c r="K429" s="146">
        <f>E447</f>
        <v>0.12242211496270296</v>
      </c>
      <c r="L429" s="3" t="s">
        <v>197</v>
      </c>
      <c r="Q429" s="51">
        <f>AVERAGE(G428:G432,G437:G439)</f>
        <v>67.695000000000007</v>
      </c>
      <c r="R429" s="51">
        <f>AVERAGE(H428:H432,H437:H439)</f>
        <v>56.055000000000007</v>
      </c>
    </row>
    <row r="430" spans="1:19" x14ac:dyDescent="0.35">
      <c r="B430" s="21" t="s">
        <v>15</v>
      </c>
      <c r="C430" s="51">
        <v>70.150000000000006</v>
      </c>
      <c r="D430" s="51">
        <v>56.55</v>
      </c>
      <c r="F430" s="21" t="s">
        <v>15</v>
      </c>
      <c r="G430" s="51">
        <f t="shared" si="69"/>
        <v>56.42</v>
      </c>
      <c r="H430" s="51">
        <f t="shared" si="69"/>
        <v>45.96</v>
      </c>
      <c r="Q430" s="3">
        <f>Q428/Q429</f>
        <v>0.96277420784400602</v>
      </c>
      <c r="R430" s="3">
        <f>R428/R429</f>
        <v>0.70751940058870733</v>
      </c>
    </row>
    <row r="431" spans="1:19" x14ac:dyDescent="0.35">
      <c r="B431" s="21" t="s">
        <v>16</v>
      </c>
      <c r="C431" s="51">
        <v>52.9</v>
      </c>
      <c r="D431" s="51">
        <v>48.9</v>
      </c>
      <c r="F431" s="21" t="s">
        <v>16</v>
      </c>
      <c r="G431" s="51">
        <f t="shared" si="69"/>
        <v>54.55</v>
      </c>
      <c r="H431" s="51">
        <f t="shared" si="69"/>
        <v>45.21</v>
      </c>
    </row>
    <row r="432" spans="1:19" x14ac:dyDescent="0.35">
      <c r="B432" s="21" t="s">
        <v>17</v>
      </c>
      <c r="C432" s="51">
        <v>48.85</v>
      </c>
      <c r="D432" s="51">
        <v>43.6</v>
      </c>
      <c r="F432" s="21" t="s">
        <v>17</v>
      </c>
      <c r="G432" s="51">
        <f t="shared" si="69"/>
        <v>53.43</v>
      </c>
      <c r="H432" s="51">
        <f t="shared" si="69"/>
        <v>44.06</v>
      </c>
      <c r="Q432" s="51">
        <f>AVERAGE(G428:G439)</f>
        <v>66.855000000000004</v>
      </c>
      <c r="R432" s="51">
        <f>AVERAGE(H428:H439)</f>
        <v>50.59</v>
      </c>
      <c r="S432" s="3">
        <f>Q432/R432</f>
        <v>1.3215062265269817</v>
      </c>
    </row>
    <row r="433" spans="1:19" x14ac:dyDescent="0.35">
      <c r="B433" s="21" t="s">
        <v>18</v>
      </c>
      <c r="C433" s="51">
        <v>52.25</v>
      </c>
      <c r="D433" s="51">
        <v>40.840000000000003</v>
      </c>
      <c r="F433" s="21" t="s">
        <v>18</v>
      </c>
      <c r="G433" s="51">
        <f t="shared" si="69"/>
        <v>55.58</v>
      </c>
      <c r="H433" s="51">
        <f t="shared" si="69"/>
        <v>34.35</v>
      </c>
    </row>
    <row r="434" spans="1:19" x14ac:dyDescent="0.35">
      <c r="B434" s="21" t="s">
        <v>19</v>
      </c>
      <c r="C434" s="51">
        <v>78.19</v>
      </c>
      <c r="D434" s="51">
        <v>54.57</v>
      </c>
      <c r="F434" s="21" t="s">
        <v>19</v>
      </c>
      <c r="G434" s="51">
        <f t="shared" si="69"/>
        <v>80.45</v>
      </c>
      <c r="H434" s="51">
        <f t="shared" si="69"/>
        <v>48.98</v>
      </c>
    </row>
    <row r="435" spans="1:19" x14ac:dyDescent="0.35">
      <c r="B435" s="21" t="s">
        <v>20</v>
      </c>
      <c r="C435" s="51">
        <v>73.349999999999994</v>
      </c>
      <c r="D435" s="51">
        <v>39.799999999999997</v>
      </c>
      <c r="F435" s="21" t="s">
        <v>20</v>
      </c>
      <c r="G435" s="51">
        <f t="shared" si="69"/>
        <v>67.8</v>
      </c>
      <c r="H435" s="51">
        <f t="shared" si="69"/>
        <v>39.979999999999997</v>
      </c>
    </row>
    <row r="436" spans="1:19" x14ac:dyDescent="0.35">
      <c r="B436" s="21" t="s">
        <v>21</v>
      </c>
      <c r="C436" s="51">
        <v>54.25</v>
      </c>
      <c r="D436" s="51">
        <v>43</v>
      </c>
      <c r="F436" s="21" t="s">
        <v>21</v>
      </c>
      <c r="G436" s="51">
        <f t="shared" si="69"/>
        <v>56.87</v>
      </c>
      <c r="H436" s="51">
        <f t="shared" si="69"/>
        <v>35.33</v>
      </c>
    </row>
    <row r="437" spans="1:19" x14ac:dyDescent="0.35">
      <c r="B437" s="21" t="s">
        <v>22</v>
      </c>
      <c r="C437" s="51">
        <v>52.3</v>
      </c>
      <c r="D437" s="51">
        <v>43.45</v>
      </c>
      <c r="F437" s="21" t="s">
        <v>22</v>
      </c>
      <c r="G437" s="51">
        <f t="shared" si="69"/>
        <v>58.51</v>
      </c>
      <c r="H437" s="51">
        <f t="shared" si="69"/>
        <v>47.84</v>
      </c>
    </row>
    <row r="438" spans="1:19" x14ac:dyDescent="0.35">
      <c r="B438" s="21" t="s">
        <v>23</v>
      </c>
      <c r="C438" s="51">
        <v>67.5</v>
      </c>
      <c r="D438" s="51">
        <v>55.95</v>
      </c>
      <c r="F438" s="21" t="s">
        <v>23</v>
      </c>
      <c r="G438" s="51">
        <f t="shared" si="69"/>
        <v>60.49</v>
      </c>
      <c r="H438" s="51">
        <f t="shared" si="69"/>
        <v>49.46</v>
      </c>
    </row>
    <row r="439" spans="1:19" x14ac:dyDescent="0.35">
      <c r="B439" s="21" t="s">
        <v>24</v>
      </c>
      <c r="C439" s="51">
        <v>119.55</v>
      </c>
      <c r="D439" s="51">
        <v>109.5</v>
      </c>
      <c r="F439" s="21" t="s">
        <v>24</v>
      </c>
      <c r="G439" s="51">
        <f t="shared" si="69"/>
        <v>74.23</v>
      </c>
      <c r="H439" s="51">
        <f t="shared" si="69"/>
        <v>62.03</v>
      </c>
    </row>
    <row r="443" spans="1:19" ht="13.15" x14ac:dyDescent="0.4">
      <c r="A443" s="54" t="s">
        <v>198</v>
      </c>
      <c r="B443" s="13" t="s">
        <v>199</v>
      </c>
    </row>
    <row r="446" spans="1:19" x14ac:dyDescent="0.35">
      <c r="C446" s="55" t="s">
        <v>200</v>
      </c>
      <c r="D446" s="37" t="s">
        <v>196</v>
      </c>
      <c r="E446" s="37" t="s">
        <v>197</v>
      </c>
      <c r="F446" s="37" t="s">
        <v>201</v>
      </c>
    </row>
    <row r="447" spans="1:19" x14ac:dyDescent="0.35">
      <c r="C447" s="147" t="s">
        <v>202</v>
      </c>
      <c r="D447" s="148">
        <f>4/(4+M466)</f>
        <v>0.87757788503729706</v>
      </c>
      <c r="E447" s="148">
        <f>M466/(4+M466)</f>
        <v>0.12242211496270296</v>
      </c>
      <c r="F447" s="149" t="s">
        <v>203</v>
      </c>
    </row>
    <row r="448" spans="1:19" x14ac:dyDescent="0.35">
      <c r="Q448" s="78" t="s">
        <v>204</v>
      </c>
      <c r="R448" s="3" t="s">
        <v>205</v>
      </c>
      <c r="S448" s="3" t="s">
        <v>206</v>
      </c>
    </row>
    <row r="449" spans="1:19" x14ac:dyDescent="0.35">
      <c r="B449" s="37" t="s">
        <v>69</v>
      </c>
      <c r="C449" s="150">
        <v>333.69</v>
      </c>
      <c r="D449" s="77">
        <f>C449</f>
        <v>333.69</v>
      </c>
      <c r="E449" s="77">
        <v>246.95808747749368</v>
      </c>
      <c r="F449" s="82">
        <f>ROUND(D449*D$447+E449*E$447,2)</f>
        <v>323.07</v>
      </c>
      <c r="H449" s="82"/>
      <c r="P449" s="3" t="s">
        <v>207</v>
      </c>
      <c r="Q449" s="3">
        <v>2.25</v>
      </c>
      <c r="R449" s="3">
        <f>Q449*1000</f>
        <v>2250</v>
      </c>
      <c r="S449" s="3">
        <v>31</v>
      </c>
    </row>
    <row r="450" spans="1:19" x14ac:dyDescent="0.35">
      <c r="B450" s="37"/>
      <c r="C450" s="37"/>
      <c r="D450" s="77"/>
      <c r="E450" s="77"/>
      <c r="F450" s="82"/>
      <c r="P450" s="3" t="s">
        <v>208</v>
      </c>
      <c r="Q450" s="3">
        <v>1.25</v>
      </c>
      <c r="R450" s="3">
        <f>Q450*1000</f>
        <v>1250</v>
      </c>
      <c r="S450" s="3">
        <v>30</v>
      </c>
    </row>
    <row r="451" spans="1:19" x14ac:dyDescent="0.35">
      <c r="B451" s="37" t="s">
        <v>62</v>
      </c>
      <c r="C451" s="77">
        <f>C449</f>
        <v>333.69</v>
      </c>
      <c r="D451" s="77">
        <f>C451</f>
        <v>333.69</v>
      </c>
      <c r="E451" s="151">
        <v>155.20668393427223</v>
      </c>
      <c r="F451" s="82">
        <f>ROUND(D451*D$447+E451*E$447,2)</f>
        <v>311.83999999999997</v>
      </c>
      <c r="I451" s="78"/>
      <c r="P451" s="3" t="s">
        <v>209</v>
      </c>
      <c r="Q451" s="3">
        <v>1.25</v>
      </c>
      <c r="R451" s="3">
        <f t="shared" ref="Q451:R456" si="70">Q451*1000</f>
        <v>1250</v>
      </c>
      <c r="S451" s="3">
        <v>31</v>
      </c>
    </row>
    <row r="452" spans="1:19" x14ac:dyDescent="0.35">
      <c r="O452" s="3" t="s">
        <v>210</v>
      </c>
      <c r="P452" s="3">
        <v>1.25</v>
      </c>
      <c r="Q452" s="3">
        <f t="shared" si="70"/>
        <v>1250</v>
      </c>
      <c r="R452" s="3">
        <v>30</v>
      </c>
    </row>
    <row r="453" spans="1:19" x14ac:dyDescent="0.35">
      <c r="O453" s="3" t="s">
        <v>211</v>
      </c>
      <c r="P453" s="3">
        <v>1.25</v>
      </c>
      <c r="Q453" s="3">
        <f t="shared" si="70"/>
        <v>1250</v>
      </c>
      <c r="R453" s="3">
        <v>28</v>
      </c>
    </row>
    <row r="454" spans="1:19" x14ac:dyDescent="0.35">
      <c r="O454" s="3" t="s">
        <v>212</v>
      </c>
      <c r="P454" s="3">
        <v>1.25</v>
      </c>
      <c r="Q454" s="3">
        <f t="shared" si="70"/>
        <v>1250</v>
      </c>
      <c r="R454" s="3">
        <v>31</v>
      </c>
    </row>
    <row r="455" spans="1:19" ht="13.15" x14ac:dyDescent="0.4">
      <c r="A455" s="54" t="s">
        <v>213</v>
      </c>
      <c r="B455" s="13" t="s">
        <v>117</v>
      </c>
      <c r="O455" s="3" t="s">
        <v>214</v>
      </c>
      <c r="P455" s="3">
        <v>1.25</v>
      </c>
      <c r="Q455" s="3">
        <f t="shared" si="70"/>
        <v>1250</v>
      </c>
      <c r="R455" s="3">
        <v>30</v>
      </c>
    </row>
    <row r="456" spans="1:19" x14ac:dyDescent="0.35">
      <c r="O456" s="3" t="s">
        <v>17</v>
      </c>
      <c r="P456" s="3">
        <v>2</v>
      </c>
      <c r="Q456" s="3">
        <f t="shared" si="70"/>
        <v>2000</v>
      </c>
      <c r="R456" s="3">
        <v>31</v>
      </c>
    </row>
    <row r="457" spans="1:19" x14ac:dyDescent="0.35">
      <c r="P457" s="3">
        <f>SUM(P449:P456)</f>
        <v>7</v>
      </c>
      <c r="Q457" s="3">
        <f>SUM(Q449:Q456)</f>
        <v>7004.75</v>
      </c>
      <c r="R457" s="3">
        <f>SUM(R449:R456)</f>
        <v>4900</v>
      </c>
      <c r="S457" s="3">
        <f>Q457/R457</f>
        <v>1.4295408163265306</v>
      </c>
    </row>
    <row r="458" spans="1:19" x14ac:dyDescent="0.35">
      <c r="C458" s="37" t="s">
        <v>215</v>
      </c>
      <c r="D458" s="37" t="s">
        <v>216</v>
      </c>
      <c r="E458" s="37" t="s">
        <v>217</v>
      </c>
      <c r="F458" s="37" t="s">
        <v>196</v>
      </c>
      <c r="G458" s="37" t="s">
        <v>197</v>
      </c>
      <c r="H458" s="37" t="s">
        <v>201</v>
      </c>
    </row>
    <row r="459" spans="1:19" x14ac:dyDescent="0.35">
      <c r="C459" s="149" t="s">
        <v>218</v>
      </c>
      <c r="D459" s="149" t="s">
        <v>218</v>
      </c>
      <c r="E459" s="149" t="s">
        <v>219</v>
      </c>
      <c r="F459" s="148">
        <f>D447</f>
        <v>0.87757788503729706</v>
      </c>
      <c r="G459" s="148">
        <f>E447</f>
        <v>0.12242211496270296</v>
      </c>
      <c r="H459" s="149" t="s">
        <v>203</v>
      </c>
    </row>
    <row r="461" spans="1:19" x14ac:dyDescent="0.35">
      <c r="B461" s="37"/>
      <c r="C461" s="152">
        <v>2</v>
      </c>
      <c r="D461" s="152">
        <v>4.2481883666093934</v>
      </c>
      <c r="E461" s="152">
        <v>16.14</v>
      </c>
      <c r="F461" s="152">
        <f>C461+E461</f>
        <v>18.14</v>
      </c>
      <c r="G461" s="152">
        <f>E461+D461</f>
        <v>20.388188366609395</v>
      </c>
      <c r="H461" s="152">
        <f>ROUND(F461*F$459+G461*G$459,2)</f>
        <v>18.420000000000002</v>
      </c>
    </row>
    <row r="462" spans="1:19" x14ac:dyDescent="0.35">
      <c r="B462" s="37"/>
      <c r="C462" s="152"/>
      <c r="D462" s="152"/>
      <c r="E462" s="152"/>
    </row>
    <row r="463" spans="1:19" ht="13.5" thickBot="1" x14ac:dyDescent="0.45">
      <c r="A463" s="33" t="s">
        <v>220</v>
      </c>
      <c r="E463" s="62"/>
    </row>
    <row r="464" spans="1:19" x14ac:dyDescent="0.35">
      <c r="A464" s="14"/>
      <c r="B464" s="37" t="s">
        <v>221</v>
      </c>
      <c r="C464" s="82">
        <f>F449</f>
        <v>323.07</v>
      </c>
      <c r="D464" s="75" t="s">
        <v>222</v>
      </c>
      <c r="L464" s="153" t="s">
        <v>223</v>
      </c>
      <c r="M464" s="154">
        <v>47.5</v>
      </c>
      <c r="N464" s="111"/>
    </row>
    <row r="465" spans="1:20" x14ac:dyDescent="0.35">
      <c r="A465" s="14"/>
      <c r="B465" s="37"/>
      <c r="C465" s="82">
        <f>+F451</f>
        <v>311.83999999999997</v>
      </c>
      <c r="D465" s="75" t="s">
        <v>224</v>
      </c>
      <c r="L465" s="155" t="s">
        <v>225</v>
      </c>
      <c r="M465" s="156">
        <f>T466</f>
        <v>85.05</v>
      </c>
      <c r="N465" s="113"/>
      <c r="S465" s="156">
        <v>0</v>
      </c>
    </row>
    <row r="466" spans="1:20" x14ac:dyDescent="0.35">
      <c r="A466" s="14"/>
      <c r="B466" s="37" t="s">
        <v>226</v>
      </c>
      <c r="C466" s="63">
        <f>+C147</f>
        <v>53766</v>
      </c>
      <c r="D466" s="75" t="s">
        <v>98</v>
      </c>
      <c r="E466" s="65"/>
      <c r="L466" s="155" t="s">
        <v>227</v>
      </c>
      <c r="M466" s="3">
        <f>ROUND(M464/M465,3)</f>
        <v>0.55800000000000005</v>
      </c>
      <c r="N466" s="113"/>
      <c r="S466" s="3">
        <v>340.2</v>
      </c>
      <c r="T466" s="3">
        <f>S466/4</f>
        <v>85.05</v>
      </c>
    </row>
    <row r="467" spans="1:20" x14ac:dyDescent="0.35">
      <c r="A467" s="14"/>
      <c r="B467" s="37" t="s">
        <v>228</v>
      </c>
      <c r="C467" s="157">
        <f>+H144</f>
        <v>4</v>
      </c>
      <c r="D467" s="3" t="s">
        <v>229</v>
      </c>
      <c r="E467" s="65"/>
      <c r="L467" s="112"/>
      <c r="N467" s="113"/>
      <c r="S467" s="3">
        <v>330.7</v>
      </c>
    </row>
    <row r="468" spans="1:20" x14ac:dyDescent="0.35">
      <c r="A468" s="14"/>
      <c r="B468" s="37"/>
      <c r="C468" s="157">
        <f>+H145</f>
        <v>8</v>
      </c>
      <c r="D468" s="3" t="s">
        <v>230</v>
      </c>
      <c r="E468" s="65"/>
      <c r="L468" s="155" t="s">
        <v>231</v>
      </c>
      <c r="M468" s="61">
        <f>D223-D318</f>
        <v>17.591167898830406</v>
      </c>
      <c r="N468" s="113" t="s">
        <v>232</v>
      </c>
      <c r="S468" s="3">
        <v>384.48790000000002</v>
      </c>
      <c r="T468" s="3">
        <f>S468/4</f>
        <v>96.121975000000006</v>
      </c>
    </row>
    <row r="469" spans="1:20" x14ac:dyDescent="0.35">
      <c r="A469" s="14"/>
      <c r="B469" s="37" t="s">
        <v>233</v>
      </c>
      <c r="C469" s="61">
        <f>+D161</f>
        <v>18.420000000000002</v>
      </c>
      <c r="D469" s="78" t="s">
        <v>119</v>
      </c>
      <c r="L469" s="155" t="s">
        <v>234</v>
      </c>
      <c r="M469" s="158">
        <f>ROUND(M466/(4+M466)*M468,2)</f>
        <v>2.15</v>
      </c>
      <c r="N469" s="113" t="s">
        <v>232</v>
      </c>
      <c r="S469" s="3">
        <v>393.01100000000002</v>
      </c>
      <c r="T469" s="3">
        <f>S469/4</f>
        <v>98.252750000000006</v>
      </c>
    </row>
    <row r="470" spans="1:20" ht="13.15" thickBot="1" x14ac:dyDescent="0.4">
      <c r="A470" s="14"/>
      <c r="B470" s="37" t="s">
        <v>235</v>
      </c>
      <c r="C470" s="78" t="s">
        <v>467</v>
      </c>
      <c r="L470" s="375" t="s">
        <v>236</v>
      </c>
      <c r="M470" s="159">
        <f>M468-M469</f>
        <v>15.441167898830406</v>
      </c>
      <c r="N470" s="160" t="s">
        <v>232</v>
      </c>
    </row>
    <row r="471" spans="1:20" x14ac:dyDescent="0.35">
      <c r="A471" s="14"/>
      <c r="B471" s="37"/>
      <c r="C471" s="78" t="s">
        <v>468</v>
      </c>
      <c r="L471" s="161"/>
      <c r="M471" s="156"/>
    </row>
    <row r="472" spans="1:20" x14ac:dyDescent="0.35">
      <c r="A472" s="14"/>
      <c r="B472" s="37" t="s">
        <v>237</v>
      </c>
      <c r="C472" s="78" t="str">
        <f>"Forecasted " &amp;M1-1 &amp;" energy use by class, PJM on/off % from " &amp;M1-2 &amp;" class load profiles,"</f>
        <v>Forecasted 2026 energy use by class, PJM on/off % from 2025 class load profiles,</v>
      </c>
    </row>
    <row r="473" spans="1:20" x14ac:dyDescent="0.35">
      <c r="A473" s="14"/>
      <c r="B473" s="37"/>
      <c r="C473" s="78" t="str">
        <f>"RECO billing on/off % from " &amp;TEXT(DATE(M1-2,6,1),"m/yy") &amp;" to 5/" &amp;TEXT(DATE(M1-1,5,1),"yy") &amp;" actual data"</f>
        <v>RECO billing on/off % from 6/25 to 5/26 actual data</v>
      </c>
    </row>
    <row r="474" spans="1:20" x14ac:dyDescent="0.35">
      <c r="A474" s="14"/>
      <c r="B474" s="37" t="s">
        <v>238</v>
      </c>
      <c r="C474" s="78" t="str">
        <f>"Class totals for " &amp;M1-1</f>
        <v>Class totals for 2026</v>
      </c>
    </row>
    <row r="475" spans="1:20" x14ac:dyDescent="0.35">
      <c r="A475" s="14"/>
      <c r="B475" s="37" t="s">
        <v>239</v>
      </c>
      <c r="C475" s="3" t="s">
        <v>240</v>
      </c>
    </row>
    <row r="476" spans="1:20" x14ac:dyDescent="0.35">
      <c r="A476" s="14"/>
      <c r="B476" s="37" t="s">
        <v>241</v>
      </c>
      <c r="C476" s="3" t="s">
        <v>242</v>
      </c>
      <c r="L476" s="27"/>
    </row>
    <row r="477" spans="1:20" x14ac:dyDescent="0.35">
      <c r="C477" s="3" t="s">
        <v>243</v>
      </c>
    </row>
    <row r="478" spans="1:20" x14ac:dyDescent="0.35">
      <c r="B478" s="39" t="s">
        <v>244</v>
      </c>
      <c r="C478" s="3" t="s">
        <v>245</v>
      </c>
    </row>
    <row r="479" spans="1:20" x14ac:dyDescent="0.35">
      <c r="A479" s="14"/>
      <c r="C479" s="120"/>
      <c r="E479" s="120"/>
    </row>
    <row r="481" spans="1:9" ht="13.15" x14ac:dyDescent="0.4">
      <c r="A481" s="162" t="s">
        <v>246</v>
      </c>
      <c r="B481" s="163"/>
      <c r="C481" s="163"/>
      <c r="D481" s="163"/>
    </row>
    <row r="482" spans="1:9" ht="13.15" x14ac:dyDescent="0.4">
      <c r="A482" s="54" t="s">
        <v>247</v>
      </c>
      <c r="B482" s="13" t="s">
        <v>248</v>
      </c>
    </row>
    <row r="483" spans="1:9" x14ac:dyDescent="0.35">
      <c r="D483" s="376"/>
    </row>
    <row r="484" spans="1:9" x14ac:dyDescent="0.35">
      <c r="B484" s="1" t="s">
        <v>249</v>
      </c>
      <c r="D484" s="376">
        <f>D223</f>
        <v>133.50669274854013</v>
      </c>
      <c r="E484" s="78" t="s">
        <v>119</v>
      </c>
      <c r="F484" s="78" t="s">
        <v>250</v>
      </c>
    </row>
    <row r="485" spans="1:9" x14ac:dyDescent="0.35">
      <c r="B485" s="1" t="s">
        <v>251</v>
      </c>
      <c r="D485" s="164">
        <f>-M470</f>
        <v>-15.441167898830406</v>
      </c>
      <c r="E485" s="78" t="s">
        <v>119</v>
      </c>
      <c r="F485" s="3" t="s">
        <v>252</v>
      </c>
    </row>
    <row r="486" spans="1:9" x14ac:dyDescent="0.35">
      <c r="B486" s="1" t="s">
        <v>253</v>
      </c>
      <c r="D486" s="61">
        <f>D484+D485</f>
        <v>118.06552484970973</v>
      </c>
      <c r="E486" s="78" t="s">
        <v>119</v>
      </c>
      <c r="F486" s="3" t="str">
        <f>"** RECO average transmission rate of "&amp;TEXT(D223-D318,"0.00")&amp;" minus"</f>
        <v>** RECO average transmission rate of 17.59 minus</v>
      </c>
    </row>
    <row r="487" spans="1:9" x14ac:dyDescent="0.35">
      <c r="F487" s="3" t="s">
        <v>254</v>
      </c>
    </row>
    <row r="488" spans="1:9" x14ac:dyDescent="0.35">
      <c r="D488" s="165"/>
      <c r="F488" s="3" t="str">
        <f>"average rate "&amp;TEXT(M466,"0.000")&amp;"/"&amp;TEXT(4+M466,"0.000")&amp;" *$"&amp;TEXT(M468,"0.00")&amp;" per MWh)."</f>
        <v>average rate 0.558/4.558 *$17.59 per MWh).</v>
      </c>
      <c r="I488" s="166"/>
    </row>
    <row r="489" spans="1:9" x14ac:dyDescent="0.35">
      <c r="B489" s="85" t="s">
        <v>255</v>
      </c>
    </row>
    <row r="491" spans="1:9" ht="13.15" x14ac:dyDescent="0.4">
      <c r="C491" s="19" t="str">
        <f t="shared" ref="C491" si="71">C6</f>
        <v>SC1</v>
      </c>
      <c r="D491" s="19" t="str">
        <f>D6</f>
        <v>SC3</v>
      </c>
      <c r="E491" s="19" t="str">
        <f>E6</f>
        <v>SC2 ND</v>
      </c>
      <c r="F491" s="19" t="str">
        <f>F6</f>
        <v>SC4</v>
      </c>
      <c r="G491" s="19" t="str">
        <f>G6</f>
        <v>SC6</v>
      </c>
      <c r="H491" s="19" t="str">
        <f>H6</f>
        <v>SC2 Dem</v>
      </c>
      <c r="I491" s="19" t="str">
        <f>I24</f>
        <v>SC1 TOD</v>
      </c>
    </row>
    <row r="492" spans="1:9" x14ac:dyDescent="0.35">
      <c r="B492" s="167" t="s">
        <v>69</v>
      </c>
    </row>
    <row r="493" spans="1:9" x14ac:dyDescent="0.35">
      <c r="B493" s="39" t="s">
        <v>256</v>
      </c>
      <c r="C493" s="39">
        <f>ROUND(($D$486*C327)/10,3)</f>
        <v>12.314</v>
      </c>
      <c r="E493" s="81">
        <f>ROUND(E327*$D$486/10,3)</f>
        <v>10.26</v>
      </c>
      <c r="F493" s="81">
        <f>ROUND(F327*$D$486/10,3)</f>
        <v>7.84</v>
      </c>
      <c r="G493" s="81">
        <f>ROUND(G327*$D$486/10,3)</f>
        <v>7.8159999999999998</v>
      </c>
      <c r="H493" s="81">
        <f>ROUND((C348*$D$486+D348)/10,3)</f>
        <v>8.0860000000000003</v>
      </c>
      <c r="I493" s="81"/>
    </row>
    <row r="494" spans="1:9" x14ac:dyDescent="0.35">
      <c r="B494" s="39" t="s">
        <v>257</v>
      </c>
      <c r="D494" s="81">
        <f>ROUND(D328*$D$486/10,3)</f>
        <v>14.888</v>
      </c>
      <c r="I494" s="81">
        <f>ROUND(H328*$D$486/10,3)</f>
        <v>21.984000000000002</v>
      </c>
    </row>
    <row r="495" spans="1:9" x14ac:dyDescent="0.35">
      <c r="B495" s="39" t="s">
        <v>258</v>
      </c>
      <c r="D495" s="81">
        <f>ROUND(D329*$D$486/10,3)</f>
        <v>6.718</v>
      </c>
      <c r="I495" s="81">
        <f>ROUND(H329*$D$486/10,3)</f>
        <v>7.9809999999999999</v>
      </c>
    </row>
    <row r="496" spans="1:9" x14ac:dyDescent="0.35">
      <c r="B496" s="37" t="s">
        <v>41</v>
      </c>
      <c r="C496" s="39">
        <f>ROUND(($D$486*C327+C332)/10,3)</f>
        <v>6.9119999999999999</v>
      </c>
      <c r="D496" s="81"/>
      <c r="I496" s="81"/>
    </row>
    <row r="497" spans="2:10" x14ac:dyDescent="0.35">
      <c r="B497" s="39" t="s">
        <v>42</v>
      </c>
      <c r="C497" s="3">
        <f>ROUND(($D$486*C327+C333)/10,3)</f>
        <v>16.390999999999998</v>
      </c>
      <c r="D497" s="81"/>
      <c r="I497" s="81"/>
    </row>
    <row r="498" spans="2:10" x14ac:dyDescent="0.35">
      <c r="D498" s="81"/>
      <c r="I498" s="81"/>
    </row>
    <row r="500" spans="2:10" x14ac:dyDescent="0.35">
      <c r="B500" s="37" t="s">
        <v>259</v>
      </c>
      <c r="H500" s="66">
        <f>ROUND(I352,2)</f>
        <v>7.05</v>
      </c>
      <c r="I500" s="66"/>
    </row>
    <row r="501" spans="2:10" x14ac:dyDescent="0.35">
      <c r="B501" s="37"/>
      <c r="H501" s="66"/>
      <c r="I501" s="66"/>
    </row>
    <row r="503" spans="2:10" x14ac:dyDescent="0.35">
      <c r="B503" s="167" t="s">
        <v>62</v>
      </c>
    </row>
    <row r="504" spans="2:10" x14ac:dyDescent="0.35">
      <c r="B504" s="39" t="s">
        <v>256</v>
      </c>
      <c r="C504" s="81">
        <f>ROUND(C336*$D$486/10,3)</f>
        <v>14.439</v>
      </c>
      <c r="E504" s="81">
        <f>ROUND(E336*$D$486/10,3)</f>
        <v>11.074999999999999</v>
      </c>
      <c r="F504" s="81">
        <f>ROUND(F336*$D$486/10,3)</f>
        <v>8.8789999999999996</v>
      </c>
      <c r="G504" s="81">
        <f>ROUND(G336*$D$486/10,3)</f>
        <v>8.7720000000000002</v>
      </c>
      <c r="H504" s="81">
        <f>ROUND((C352*$D$486+D352)/10,3)</f>
        <v>8.9390000000000001</v>
      </c>
    </row>
    <row r="505" spans="2:10" x14ac:dyDescent="0.35">
      <c r="B505" s="39" t="s">
        <v>257</v>
      </c>
      <c r="D505" s="81">
        <f>ROUND(D337*$D$486/10,3)</f>
        <v>16.670999999999999</v>
      </c>
      <c r="I505" s="81">
        <f>ROUND(H337*$D$486/10,3)</f>
        <v>31.417000000000002</v>
      </c>
    </row>
    <row r="506" spans="2:10" x14ac:dyDescent="0.35">
      <c r="B506" s="39" t="s">
        <v>258</v>
      </c>
      <c r="D506" s="81">
        <f>ROUND(D338*$D$486/10,3)</f>
        <v>8.4179999999999993</v>
      </c>
      <c r="I506" s="81">
        <f>ROUND(H338*$D$486/10,3)</f>
        <v>8.9849999999999994</v>
      </c>
    </row>
    <row r="508" spans="2:10" x14ac:dyDescent="0.35">
      <c r="B508" s="37" t="s">
        <v>259</v>
      </c>
      <c r="H508" s="66">
        <f>ROUND(I353,2)</f>
        <v>8.16</v>
      </c>
      <c r="I508" s="66"/>
    </row>
    <row r="509" spans="2:10" x14ac:dyDescent="0.35">
      <c r="B509" s="37"/>
      <c r="H509" s="66"/>
      <c r="I509" s="66"/>
    </row>
    <row r="510" spans="2:10" x14ac:dyDescent="0.35">
      <c r="B510" s="37"/>
      <c r="I510" s="66"/>
      <c r="J510" s="66"/>
    </row>
    <row r="511" spans="2:10" x14ac:dyDescent="0.35">
      <c r="B511" s="85" t="s">
        <v>260</v>
      </c>
      <c r="D511" s="3" t="s">
        <v>261</v>
      </c>
      <c r="E511" s="168">
        <v>6.6250000000000003E-2</v>
      </c>
      <c r="J511" s="66"/>
    </row>
    <row r="512" spans="2:10" x14ac:dyDescent="0.35">
      <c r="J512" s="66"/>
    </row>
    <row r="513" spans="2:9" ht="13.15" x14ac:dyDescent="0.4">
      <c r="C513" s="19" t="s">
        <v>7</v>
      </c>
      <c r="D513" s="19" t="s">
        <v>8</v>
      </c>
      <c r="E513" s="19" t="s">
        <v>9</v>
      </c>
      <c r="F513" s="19" t="s">
        <v>10</v>
      </c>
      <c r="G513" s="19" t="s">
        <v>11</v>
      </c>
      <c r="H513" s="19" t="s">
        <v>12</v>
      </c>
      <c r="I513" s="19" t="str">
        <f>I24</f>
        <v>SC1 TOD</v>
      </c>
    </row>
    <row r="514" spans="2:9" x14ac:dyDescent="0.35">
      <c r="B514" s="167" t="s">
        <v>69</v>
      </c>
      <c r="I514" s="66"/>
    </row>
    <row r="515" spans="2:9" x14ac:dyDescent="0.35">
      <c r="B515" s="39" t="s">
        <v>256</v>
      </c>
      <c r="C515" s="39"/>
      <c r="E515" s="39">
        <f>ROUND(E493*(1+$E$511),3)</f>
        <v>10.94</v>
      </c>
      <c r="F515" s="39">
        <f>ROUND(F493*(1+$E$511),3)</f>
        <v>8.359</v>
      </c>
      <c r="G515" s="39">
        <f>ROUND(G493*(1+$E$511),3)</f>
        <v>8.3339999999999996</v>
      </c>
      <c r="H515" s="39">
        <f>ROUND(H493*(1+$E$511),3)</f>
        <v>8.6219999999999999</v>
      </c>
      <c r="I515" s="66"/>
    </row>
    <row r="516" spans="2:9" x14ac:dyDescent="0.35">
      <c r="B516" s="39" t="s">
        <v>257</v>
      </c>
      <c r="D516" s="39">
        <f>ROUND(D494*(1+$E$511),3)</f>
        <v>15.874000000000001</v>
      </c>
      <c r="I516" s="169">
        <f>ROUND(I494*(1+$E$511),3)</f>
        <v>23.44</v>
      </c>
    </row>
    <row r="517" spans="2:9" x14ac:dyDescent="0.35">
      <c r="B517" s="39" t="s">
        <v>258</v>
      </c>
      <c r="D517" s="39">
        <f>ROUND(D495*(1+$E$511),3)</f>
        <v>7.1630000000000003</v>
      </c>
      <c r="I517" s="169">
        <f>ROUND(I495*(1+$E$511),3)</f>
        <v>8.51</v>
      </c>
    </row>
    <row r="518" spans="2:9" x14ac:dyDescent="0.35">
      <c r="B518" s="37" t="s">
        <v>41</v>
      </c>
      <c r="C518" s="170">
        <f>ROUND(C496*(1+$E$511),3)</f>
        <v>7.37</v>
      </c>
      <c r="D518" s="81"/>
      <c r="I518" s="66"/>
    </row>
    <row r="519" spans="2:9" x14ac:dyDescent="0.35">
      <c r="B519" s="39" t="s">
        <v>42</v>
      </c>
      <c r="C519" s="170">
        <f>ROUND(C497*(1+$E$511),3)</f>
        <v>17.477</v>
      </c>
      <c r="D519" s="81"/>
      <c r="I519" s="66"/>
    </row>
    <row r="520" spans="2:9" x14ac:dyDescent="0.35">
      <c r="D520" s="81"/>
      <c r="I520" s="66"/>
    </row>
    <row r="521" spans="2:9" x14ac:dyDescent="0.35">
      <c r="I521" s="66"/>
    </row>
    <row r="522" spans="2:9" x14ac:dyDescent="0.35">
      <c r="B522" s="37" t="s">
        <v>259</v>
      </c>
      <c r="H522" s="171">
        <f>ROUND(H500*(1+$E$511),2)</f>
        <v>7.52</v>
      </c>
      <c r="I522" s="66"/>
    </row>
    <row r="523" spans="2:9" x14ac:dyDescent="0.35">
      <c r="B523" s="37"/>
      <c r="H523" s="171"/>
      <c r="I523" s="66"/>
    </row>
    <row r="524" spans="2:9" x14ac:dyDescent="0.35">
      <c r="B524" s="37"/>
      <c r="H524" s="171"/>
      <c r="I524" s="66"/>
    </row>
    <row r="525" spans="2:9" x14ac:dyDescent="0.35">
      <c r="B525" s="167" t="s">
        <v>62</v>
      </c>
      <c r="I525" s="66"/>
    </row>
    <row r="526" spans="2:9" x14ac:dyDescent="0.35">
      <c r="B526" s="39" t="s">
        <v>256</v>
      </c>
      <c r="C526" s="39">
        <f>ROUND(C504*(1+$E$511),3)</f>
        <v>15.396000000000001</v>
      </c>
      <c r="E526" s="39">
        <f>ROUND(E504*(1+$E$511),3)</f>
        <v>11.808999999999999</v>
      </c>
      <c r="F526" s="39">
        <f>ROUND(F504*(1+$E$511),3)</f>
        <v>9.4670000000000005</v>
      </c>
      <c r="G526" s="39">
        <f>ROUND(G504*(1+$E$511),3)</f>
        <v>9.3529999999999998</v>
      </c>
      <c r="H526" s="39">
        <f>ROUND(H504*(1+$E$511),3)</f>
        <v>9.5310000000000006</v>
      </c>
      <c r="I526" s="66"/>
    </row>
    <row r="527" spans="2:9" x14ac:dyDescent="0.35">
      <c r="B527" s="39" t="s">
        <v>257</v>
      </c>
      <c r="D527" s="39">
        <f>ROUND(D505*(1+$E$511),3)</f>
        <v>17.774999999999999</v>
      </c>
      <c r="I527" s="169">
        <f>ROUND(I505*(1+$E$511),3)</f>
        <v>33.497999999999998</v>
      </c>
    </row>
    <row r="528" spans="2:9" x14ac:dyDescent="0.35">
      <c r="B528" s="39" t="s">
        <v>258</v>
      </c>
      <c r="D528" s="39">
        <f>ROUND(D506*(1+$E$511),3)</f>
        <v>8.9760000000000009</v>
      </c>
      <c r="I528" s="66">
        <f>ROUND(I506*(1+$E$511),3)</f>
        <v>9.58</v>
      </c>
    </row>
    <row r="529" spans="1:10" x14ac:dyDescent="0.35">
      <c r="I529" s="66"/>
    </row>
    <row r="530" spans="1:10" x14ac:dyDescent="0.35">
      <c r="B530" s="37" t="s">
        <v>259</v>
      </c>
      <c r="H530" s="171">
        <f>ROUND(H508*(1+$E$511),2)</f>
        <v>8.6999999999999993</v>
      </c>
      <c r="I530" s="66"/>
    </row>
    <row r="531" spans="1:10" x14ac:dyDescent="0.35">
      <c r="B531" s="37"/>
      <c r="H531" s="171"/>
      <c r="I531" s="66"/>
    </row>
    <row r="532" spans="1:10" x14ac:dyDescent="0.35">
      <c r="B532" s="37"/>
      <c r="I532" s="66"/>
      <c r="J532" s="66"/>
    </row>
    <row r="533" spans="1:10" x14ac:dyDescent="0.35">
      <c r="B533" s="37"/>
      <c r="I533" s="66"/>
      <c r="J533" s="66"/>
    </row>
    <row r="534" spans="1:10" ht="13.15" x14ac:dyDescent="0.4">
      <c r="A534" s="54" t="s">
        <v>262</v>
      </c>
      <c r="B534" s="13" t="s">
        <v>263</v>
      </c>
      <c r="J534" s="66"/>
    </row>
    <row r="535" spans="1:10" ht="13.15" x14ac:dyDescent="0.4">
      <c r="A535" s="54"/>
      <c r="B535" s="13"/>
      <c r="J535" s="66"/>
    </row>
    <row r="536" spans="1:10" x14ac:dyDescent="0.35">
      <c r="A536" s="54"/>
      <c r="B536" s="85" t="s">
        <v>264</v>
      </c>
      <c r="J536" s="66"/>
    </row>
    <row r="537" spans="1:10" ht="13.15" x14ac:dyDescent="0.4">
      <c r="A537" s="54"/>
      <c r="B537" s="1"/>
      <c r="C537" s="19" t="str">
        <f t="shared" ref="C537" si="72">C491</f>
        <v>SC1</v>
      </c>
      <c r="D537" s="19" t="str">
        <f>D491</f>
        <v>SC3</v>
      </c>
      <c r="E537" s="19" t="str">
        <f>E491</f>
        <v>SC2 ND</v>
      </c>
      <c r="F537" s="19" t="str">
        <f>F491</f>
        <v>SC4</v>
      </c>
      <c r="G537" s="19" t="str">
        <f>G491</f>
        <v>SC6</v>
      </c>
      <c r="H537" s="19" t="str">
        <f>H491</f>
        <v>SC2 Dem</v>
      </c>
      <c r="I537" s="19" t="str">
        <f>I24</f>
        <v>SC1 TOD</v>
      </c>
    </row>
    <row r="538" spans="1:10" x14ac:dyDescent="0.35">
      <c r="A538" s="54"/>
      <c r="B538" s="1" t="s">
        <v>265</v>
      </c>
      <c r="C538" s="68">
        <v>1.6970000000000001</v>
      </c>
      <c r="D538" s="68">
        <v>1.6970000000000001</v>
      </c>
      <c r="E538" s="68">
        <v>1.6970000000000001</v>
      </c>
      <c r="F538" s="68">
        <v>1.6970000000000001</v>
      </c>
      <c r="G538" s="68">
        <v>1.6970000000000001</v>
      </c>
      <c r="H538" s="68">
        <v>1.6970000000000001</v>
      </c>
      <c r="I538" s="169">
        <f>C538</f>
        <v>1.6970000000000001</v>
      </c>
    </row>
    <row r="539" spans="1:10" x14ac:dyDescent="0.35">
      <c r="A539" s="54"/>
      <c r="B539" s="1" t="s">
        <v>266</v>
      </c>
      <c r="H539" s="158">
        <v>2.62</v>
      </c>
      <c r="I539" s="169"/>
    </row>
    <row r="540" spans="1:10" x14ac:dyDescent="0.35">
      <c r="B540" s="1" t="s">
        <v>267</v>
      </c>
      <c r="H540" s="158">
        <v>2.62</v>
      </c>
      <c r="I540" s="66"/>
    </row>
    <row r="541" spans="1:10" x14ac:dyDescent="0.35">
      <c r="I541" s="66"/>
    </row>
    <row r="542" spans="1:10" x14ac:dyDescent="0.35">
      <c r="I542" s="66"/>
    </row>
    <row r="543" spans="1:10" x14ac:dyDescent="0.35">
      <c r="B543" s="85" t="s">
        <v>268</v>
      </c>
      <c r="I543" s="66"/>
    </row>
    <row r="544" spans="1:10" x14ac:dyDescent="0.35">
      <c r="I544" s="66"/>
    </row>
    <row r="545" spans="2:9" x14ac:dyDescent="0.35">
      <c r="I545" s="66"/>
    </row>
    <row r="546" spans="2:9" x14ac:dyDescent="0.35">
      <c r="B546" s="167" t="s">
        <v>69</v>
      </c>
      <c r="I546" s="66"/>
    </row>
    <row r="547" spans="2:9" x14ac:dyDescent="0.35">
      <c r="B547" s="39" t="s">
        <v>256</v>
      </c>
      <c r="C547" s="81">
        <f t="shared" ref="C547:H554" si="73">IF(C493&gt;0,C493+C$538,"")</f>
        <v>14.010999999999999</v>
      </c>
      <c r="D547" s="81" t="str">
        <f t="shared" si="73"/>
        <v/>
      </c>
      <c r="E547" s="81">
        <f t="shared" si="73"/>
        <v>11.957000000000001</v>
      </c>
      <c r="F547" s="81">
        <f t="shared" si="73"/>
        <v>9.536999999999999</v>
      </c>
      <c r="G547" s="81">
        <f t="shared" si="73"/>
        <v>9.5129999999999999</v>
      </c>
      <c r="H547" s="81">
        <f t="shared" si="73"/>
        <v>9.7830000000000013</v>
      </c>
      <c r="I547" s="66"/>
    </row>
    <row r="548" spans="2:9" x14ac:dyDescent="0.35">
      <c r="B548" s="39" t="s">
        <v>257</v>
      </c>
      <c r="C548" s="81" t="str">
        <f t="shared" si="73"/>
        <v/>
      </c>
      <c r="D548" s="81">
        <f>IF(D494&gt;0,D494+D$538,"")</f>
        <v>16.585000000000001</v>
      </c>
      <c r="E548" s="81" t="str">
        <f t="shared" si="73"/>
        <v/>
      </c>
      <c r="F548" s="81" t="str">
        <f t="shared" si="73"/>
        <v/>
      </c>
      <c r="G548" s="81" t="str">
        <f t="shared" si="73"/>
        <v/>
      </c>
      <c r="H548" s="81" t="str">
        <f t="shared" si="73"/>
        <v/>
      </c>
      <c r="I548" s="169">
        <f>IF(I494&gt;0,I494+I$538,"")</f>
        <v>23.681000000000001</v>
      </c>
    </row>
    <row r="549" spans="2:9" x14ac:dyDescent="0.35">
      <c r="B549" s="39" t="s">
        <v>258</v>
      </c>
      <c r="C549" s="81" t="str">
        <f t="shared" si="73"/>
        <v/>
      </c>
      <c r="D549" s="81">
        <f>IF(D495&gt;0,D495+D$538,"")</f>
        <v>8.4149999999999991</v>
      </c>
      <c r="E549" s="81" t="str">
        <f t="shared" si="73"/>
        <v/>
      </c>
      <c r="F549" s="81" t="str">
        <f t="shared" si="73"/>
        <v/>
      </c>
      <c r="G549" s="81" t="str">
        <f t="shared" si="73"/>
        <v/>
      </c>
      <c r="H549" s="81" t="str">
        <f t="shared" si="73"/>
        <v/>
      </c>
      <c r="I549" s="169">
        <f>IF(I495&gt;0,I495+I$538,"")</f>
        <v>9.6780000000000008</v>
      </c>
    </row>
    <row r="550" spans="2:9" x14ac:dyDescent="0.35">
      <c r="B550" s="37" t="s">
        <v>41</v>
      </c>
      <c r="C550" s="81">
        <f t="shared" si="73"/>
        <v>8.609</v>
      </c>
      <c r="D550" s="81" t="str">
        <f t="shared" si="73"/>
        <v/>
      </c>
      <c r="E550" s="81" t="str">
        <f t="shared" si="73"/>
        <v/>
      </c>
      <c r="F550" s="81" t="str">
        <f t="shared" si="73"/>
        <v/>
      </c>
      <c r="G550" s="81" t="str">
        <f t="shared" si="73"/>
        <v/>
      </c>
      <c r="H550" s="81" t="str">
        <f t="shared" si="73"/>
        <v/>
      </c>
      <c r="I550" s="66"/>
    </row>
    <row r="551" spans="2:9" x14ac:dyDescent="0.35">
      <c r="B551" s="39" t="s">
        <v>42</v>
      </c>
      <c r="C551" s="81">
        <f t="shared" si="73"/>
        <v>18.087999999999997</v>
      </c>
      <c r="D551" s="81" t="str">
        <f t="shared" si="73"/>
        <v/>
      </c>
      <c r="E551" s="81" t="str">
        <f t="shared" si="73"/>
        <v/>
      </c>
      <c r="F551" s="81" t="str">
        <f t="shared" si="73"/>
        <v/>
      </c>
      <c r="G551" s="81" t="str">
        <f t="shared" si="73"/>
        <v/>
      </c>
      <c r="H551" s="81" t="str">
        <f t="shared" si="73"/>
        <v/>
      </c>
      <c r="I551" s="66"/>
    </row>
    <row r="552" spans="2:9" x14ac:dyDescent="0.35">
      <c r="B552" s="81"/>
      <c r="C552" s="81"/>
      <c r="D552" s="81" t="str">
        <f t="shared" si="73"/>
        <v/>
      </c>
      <c r="E552" s="81" t="str">
        <f t="shared" si="73"/>
        <v/>
      </c>
      <c r="F552" s="81" t="str">
        <f t="shared" si="73"/>
        <v/>
      </c>
      <c r="G552" s="81" t="str">
        <f t="shared" si="73"/>
        <v/>
      </c>
      <c r="H552" s="81" t="str">
        <f t="shared" si="73"/>
        <v/>
      </c>
      <c r="I552" s="66"/>
    </row>
    <row r="553" spans="2:9" x14ac:dyDescent="0.35">
      <c r="C553" s="81" t="str">
        <f t="shared" si="73"/>
        <v/>
      </c>
      <c r="D553" s="81" t="str">
        <f t="shared" si="73"/>
        <v/>
      </c>
      <c r="E553" s="81" t="str">
        <f t="shared" si="73"/>
        <v/>
      </c>
      <c r="F553" s="81" t="str">
        <f t="shared" si="73"/>
        <v/>
      </c>
      <c r="G553" s="81" t="str">
        <f t="shared" si="73"/>
        <v/>
      </c>
      <c r="H553" s="81" t="str">
        <f t="shared" si="73"/>
        <v/>
      </c>
      <c r="I553" s="66"/>
    </row>
    <row r="554" spans="2:9" x14ac:dyDescent="0.35">
      <c r="B554" s="37" t="s">
        <v>269</v>
      </c>
      <c r="C554" s="81" t="str">
        <f t="shared" si="73"/>
        <v/>
      </c>
      <c r="D554" s="81" t="str">
        <f>IF(D500&gt;0,D500+D$538,"")</f>
        <v/>
      </c>
      <c r="E554" s="81" t="str">
        <f>IF(E500&gt;0,E500+E$538,"")</f>
        <v/>
      </c>
      <c r="F554" s="81" t="str">
        <f>IF(F500&gt;0,F500+F$538,"")</f>
        <v/>
      </c>
      <c r="G554" s="81" t="str">
        <f>IF(G500&gt;0,G500+G$538,"")</f>
        <v/>
      </c>
      <c r="H554" s="81">
        <f>IF(H500&gt;0,H500+H$539,"")</f>
        <v>9.67</v>
      </c>
      <c r="I554" s="66"/>
    </row>
    <row r="555" spans="2:9" x14ac:dyDescent="0.35">
      <c r="I555" s="66"/>
    </row>
    <row r="556" spans="2:9" x14ac:dyDescent="0.35">
      <c r="B556" s="167" t="s">
        <v>62</v>
      </c>
      <c r="I556" s="66"/>
    </row>
    <row r="557" spans="2:9" x14ac:dyDescent="0.35">
      <c r="B557" s="39" t="s">
        <v>256</v>
      </c>
      <c r="C557" s="81">
        <f t="shared" ref="C557:H561" si="74">IF(C504&gt;0,C504+C$538,"")</f>
        <v>16.135999999999999</v>
      </c>
      <c r="D557" s="81" t="str">
        <f t="shared" si="74"/>
        <v/>
      </c>
      <c r="E557" s="81">
        <f t="shared" si="74"/>
        <v>12.771999999999998</v>
      </c>
      <c r="F557" s="81">
        <f t="shared" si="74"/>
        <v>10.576000000000001</v>
      </c>
      <c r="G557" s="81">
        <f t="shared" si="74"/>
        <v>10.469000000000001</v>
      </c>
      <c r="H557" s="81">
        <f t="shared" si="74"/>
        <v>10.635999999999999</v>
      </c>
      <c r="I557" s="66"/>
    </row>
    <row r="558" spans="2:9" x14ac:dyDescent="0.35">
      <c r="B558" s="39" t="s">
        <v>257</v>
      </c>
      <c r="C558" s="81" t="str">
        <f t="shared" si="74"/>
        <v/>
      </c>
      <c r="D558" s="81">
        <f>IF(D505&gt;0,D505+D$538,"")</f>
        <v>18.367999999999999</v>
      </c>
      <c r="E558" s="81" t="str">
        <f t="shared" si="74"/>
        <v/>
      </c>
      <c r="F558" s="81" t="str">
        <f t="shared" si="74"/>
        <v/>
      </c>
      <c r="G558" s="81" t="str">
        <f t="shared" si="74"/>
        <v/>
      </c>
      <c r="H558" s="81" t="str">
        <f t="shared" si="74"/>
        <v/>
      </c>
      <c r="I558" s="169">
        <f>IF(I505&gt;0,I505+I$538,"")</f>
        <v>33.114000000000004</v>
      </c>
    </row>
    <row r="559" spans="2:9" x14ac:dyDescent="0.35">
      <c r="B559" s="39" t="s">
        <v>258</v>
      </c>
      <c r="C559" s="81" t="str">
        <f t="shared" si="74"/>
        <v/>
      </c>
      <c r="D559" s="81">
        <f>IF(D506&gt;0,D506+D$538,"")</f>
        <v>10.114999999999998</v>
      </c>
      <c r="E559" s="81" t="str">
        <f t="shared" si="74"/>
        <v/>
      </c>
      <c r="F559" s="81" t="str">
        <f t="shared" si="74"/>
        <v/>
      </c>
      <c r="G559" s="81" t="str">
        <f t="shared" si="74"/>
        <v/>
      </c>
      <c r="H559" s="81" t="str">
        <f t="shared" si="74"/>
        <v/>
      </c>
      <c r="I559" s="169">
        <f>IF(I506&gt;0,I506+I$538,"")</f>
        <v>10.681999999999999</v>
      </c>
    </row>
    <row r="560" spans="2:9" x14ac:dyDescent="0.35">
      <c r="C560" s="81" t="str">
        <f t="shared" si="74"/>
        <v/>
      </c>
      <c r="D560" s="81" t="str">
        <f>IF(E507&gt;0,E507+D$538,"")</f>
        <v/>
      </c>
      <c r="E560" s="81" t="str">
        <f>IF(F507&gt;0,F507+E$538,"")</f>
        <v/>
      </c>
      <c r="F560" s="81" t="str">
        <f>IF(G507&gt;0,G507+F$538,"")</f>
        <v/>
      </c>
      <c r="G560" s="81" t="str">
        <f>IF(H507&gt;0,H507+G$538,"")</f>
        <v/>
      </c>
      <c r="H560" s="81" t="str">
        <f>IF(I507&gt;0,I507+H$538,"")</f>
        <v/>
      </c>
      <c r="I560" s="66"/>
    </row>
    <row r="561" spans="1:10" x14ac:dyDescent="0.35">
      <c r="B561" s="37" t="s">
        <v>269</v>
      </c>
      <c r="C561" s="81" t="str">
        <f t="shared" si="74"/>
        <v/>
      </c>
      <c r="D561" s="81" t="str">
        <f>IF(D508&gt;0,D508+D$538,"")</f>
        <v/>
      </c>
      <c r="E561" s="81" t="str">
        <f>IF(E508&gt;0,E508+E$538,"")</f>
        <v/>
      </c>
      <c r="F561" s="81" t="str">
        <f>IF(F508&gt;0,F508+F$538,"")</f>
        <v/>
      </c>
      <c r="G561" s="81" t="str">
        <f>IF(G508&gt;0,G508+G$538,"")</f>
        <v/>
      </c>
      <c r="H561" s="81">
        <f>IF(H508&gt;0,H508+H$540,"")</f>
        <v>10.780000000000001</v>
      </c>
      <c r="I561" s="66"/>
    </row>
    <row r="562" spans="1:10" x14ac:dyDescent="0.35">
      <c r="B562" s="37"/>
      <c r="I562" s="66"/>
      <c r="J562" s="66"/>
    </row>
    <row r="563" spans="1:10" x14ac:dyDescent="0.35">
      <c r="B563" s="37"/>
      <c r="I563" s="66"/>
      <c r="J563" s="66"/>
    </row>
    <row r="565" spans="1:10" x14ac:dyDescent="0.35">
      <c r="A565" s="14"/>
      <c r="C565" s="120"/>
      <c r="E565" s="120"/>
    </row>
    <row r="566" spans="1:10" ht="13.15" x14ac:dyDescent="0.4">
      <c r="A566" s="54" t="s">
        <v>270</v>
      </c>
      <c r="B566" s="33" t="s">
        <v>271</v>
      </c>
      <c r="C566" s="120"/>
      <c r="E566" s="120"/>
    </row>
    <row r="567" spans="1:10" x14ac:dyDescent="0.35">
      <c r="A567" s="14"/>
      <c r="C567" s="120"/>
      <c r="E567" s="120"/>
    </row>
    <row r="568" spans="1:10" x14ac:dyDescent="0.35">
      <c r="A568" s="14"/>
      <c r="B568" s="37" t="s">
        <v>272</v>
      </c>
      <c r="C568" s="58">
        <f>+D223</f>
        <v>133.50669274854013</v>
      </c>
      <c r="E568" s="120"/>
    </row>
    <row r="569" spans="1:10" x14ac:dyDescent="0.35">
      <c r="A569" s="14"/>
      <c r="B569" s="37" t="s">
        <v>273</v>
      </c>
      <c r="C569" s="172">
        <f>+J377</f>
        <v>0.93400000000000005</v>
      </c>
      <c r="E569" s="120"/>
    </row>
    <row r="570" spans="1:10" x14ac:dyDescent="0.35">
      <c r="A570" s="14"/>
      <c r="B570" s="37" t="s">
        <v>274</v>
      </c>
      <c r="C570" s="172">
        <f>+J378</f>
        <v>1.0469999999999999</v>
      </c>
      <c r="E570" s="120"/>
    </row>
    <row r="571" spans="1:10" x14ac:dyDescent="0.35">
      <c r="A571" s="14"/>
      <c r="B571" s="39" t="s">
        <v>275</v>
      </c>
      <c r="C571" s="173">
        <f>ROUND(C568*C569,4)</f>
        <v>124.6953</v>
      </c>
      <c r="E571" s="120"/>
    </row>
    <row r="572" spans="1:10" x14ac:dyDescent="0.35">
      <c r="A572" s="14"/>
      <c r="B572" s="39" t="s">
        <v>276</v>
      </c>
      <c r="C572" s="173">
        <f>ROUND(C568*C570,4)</f>
        <v>139.78149999999999</v>
      </c>
      <c r="E572" s="120"/>
    </row>
    <row r="573" spans="1:10" x14ac:dyDescent="0.35">
      <c r="A573" s="14"/>
      <c r="B573" s="37"/>
      <c r="C573" s="120"/>
      <c r="E573" s="120"/>
    </row>
    <row r="574" spans="1:10" x14ac:dyDescent="0.35">
      <c r="A574" s="14"/>
      <c r="C574" s="120"/>
      <c r="E574" s="120"/>
    </row>
    <row r="575" spans="1:10" ht="13.15" x14ac:dyDescent="0.4">
      <c r="A575" s="14"/>
      <c r="C575" s="19" t="str">
        <f t="shared" ref="C575" si="75">C6</f>
        <v>SC1</v>
      </c>
      <c r="D575" s="19" t="str">
        <f>D6</f>
        <v>SC3</v>
      </c>
      <c r="E575" s="19" t="str">
        <f>E6</f>
        <v>SC2 ND</v>
      </c>
      <c r="F575" s="19" t="str">
        <f>F6</f>
        <v>SC4</v>
      </c>
      <c r="G575" s="19" t="str">
        <f>G6</f>
        <v>SC6</v>
      </c>
      <c r="H575" s="19" t="str">
        <f>H6</f>
        <v>SC2 Dem</v>
      </c>
      <c r="I575" s="19" t="str">
        <f>$I$24</f>
        <v>SC1 TOD</v>
      </c>
    </row>
    <row r="576" spans="1:10" x14ac:dyDescent="0.35">
      <c r="A576" s="14"/>
      <c r="B576" s="78" t="s">
        <v>277</v>
      </c>
    </row>
    <row r="577" spans="1:11" x14ac:dyDescent="0.35">
      <c r="A577" s="14"/>
      <c r="B577" s="55" t="s">
        <v>69</v>
      </c>
      <c r="C577" s="65">
        <f>ROUND((C493*L48)/100,0)</f>
        <v>40590</v>
      </c>
      <c r="D577" s="64">
        <f>ROUND((D494*M49+D495*M50)/100,0)</f>
        <v>12</v>
      </c>
      <c r="E577" s="65">
        <f>ROUND(E493*N48/100,0)</f>
        <v>358</v>
      </c>
      <c r="F577" s="65">
        <f>ROUND(F493*O48/100,0)</f>
        <v>133</v>
      </c>
      <c r="G577" s="65">
        <f>ROUND(G493*P48/100,0)</f>
        <v>114</v>
      </c>
      <c r="H577" s="64">
        <f>ROUND(H493*Q48/100+H500*('Backup Calcs'!I95/4*H144)/1000,0)</f>
        <v>13410</v>
      </c>
      <c r="I577" s="64">
        <f>ROUND((I494*R49+I495*R50)/100,0)</f>
        <v>40542</v>
      </c>
    </row>
    <row r="578" spans="1:11" x14ac:dyDescent="0.35">
      <c r="A578" s="14"/>
      <c r="B578" s="55" t="s">
        <v>62</v>
      </c>
      <c r="C578" s="174">
        <f>ROUND(C504*L44/100,0)</f>
        <v>60396</v>
      </c>
      <c r="D578" s="175">
        <f>ROUND((D505*M45+D506*M46)/100,0)</f>
        <v>22</v>
      </c>
      <c r="E578" s="174">
        <f>ROUND(E504*N44/100,0)</f>
        <v>944</v>
      </c>
      <c r="F578" s="174">
        <f>ROUND(F504*O44/100,0)</f>
        <v>387</v>
      </c>
      <c r="G578" s="174">
        <f>ROUND(G504*P44/100,0)</f>
        <v>302</v>
      </c>
      <c r="H578" s="175">
        <f>ROUND(H504*Q44/100+H508*('Backup Calcs'!I96/8*H145)/1000,0)</f>
        <v>24976</v>
      </c>
      <c r="I578" s="175">
        <f>ROUND((I505*R45+I506*R46)/100,0)</f>
        <v>60401</v>
      </c>
    </row>
    <row r="579" spans="1:11" x14ac:dyDescent="0.35">
      <c r="A579" s="14"/>
      <c r="B579" s="55" t="s">
        <v>36</v>
      </c>
      <c r="C579" s="63">
        <f>+C578+C577</f>
        <v>100986</v>
      </c>
      <c r="D579" s="63">
        <f t="shared" ref="D579:I579" si="76">+D578+D577</f>
        <v>34</v>
      </c>
      <c r="E579" s="63">
        <f t="shared" si="76"/>
        <v>1302</v>
      </c>
      <c r="F579" s="63">
        <f t="shared" si="76"/>
        <v>520</v>
      </c>
      <c r="G579" s="63">
        <f t="shared" si="76"/>
        <v>416</v>
      </c>
      <c r="H579" s="63">
        <f t="shared" si="76"/>
        <v>38386</v>
      </c>
      <c r="I579" s="63">
        <f t="shared" si="76"/>
        <v>100943</v>
      </c>
    </row>
    <row r="580" spans="1:11" x14ac:dyDescent="0.35">
      <c r="A580" s="14"/>
      <c r="B580" s="55"/>
      <c r="C580" s="63"/>
      <c r="D580" s="63"/>
      <c r="E580" s="63"/>
      <c r="F580" s="63"/>
      <c r="G580" s="63"/>
      <c r="H580" s="63"/>
      <c r="I580" s="63"/>
    </row>
    <row r="581" spans="1:11" x14ac:dyDescent="0.35">
      <c r="A581" s="14"/>
      <c r="B581" s="55" t="s">
        <v>36</v>
      </c>
      <c r="C581" s="63"/>
      <c r="D581" s="63"/>
      <c r="E581" s="63"/>
      <c r="F581" s="63"/>
      <c r="G581" s="63"/>
      <c r="H581" s="63"/>
      <c r="I581" s="63"/>
    </row>
    <row r="582" spans="1:11" x14ac:dyDescent="0.35">
      <c r="A582" s="14"/>
      <c r="B582" s="55" t="s">
        <v>69</v>
      </c>
      <c r="C582" s="63">
        <f>SUM(C577:H577)</f>
        <v>54617</v>
      </c>
      <c r="D582" s="63"/>
      <c r="E582" s="63"/>
      <c r="F582" s="63"/>
      <c r="G582" s="63"/>
      <c r="H582" s="63"/>
      <c r="I582" s="63"/>
      <c r="K582" s="76"/>
    </row>
    <row r="583" spans="1:11" x14ac:dyDescent="0.35">
      <c r="A583" s="14"/>
      <c r="B583" s="55" t="s">
        <v>62</v>
      </c>
      <c r="C583" s="176">
        <f>SUM(C578:H578)</f>
        <v>87027</v>
      </c>
      <c r="D583" s="120"/>
      <c r="E583" s="63"/>
      <c r="F583" s="63"/>
    </row>
    <row r="584" spans="1:11" ht="13.15" x14ac:dyDescent="0.4">
      <c r="A584" s="14"/>
      <c r="B584" s="55" t="s">
        <v>36</v>
      </c>
      <c r="C584" s="177">
        <f>+C583+C582</f>
        <v>141644</v>
      </c>
      <c r="D584" s="120"/>
      <c r="E584" s="177"/>
      <c r="F584" s="177"/>
    </row>
    <row r="585" spans="1:11" x14ac:dyDescent="0.35">
      <c r="A585" s="14"/>
      <c r="B585" s="55"/>
      <c r="C585" s="63"/>
      <c r="D585" s="120"/>
    </row>
    <row r="586" spans="1:11" ht="13.15" x14ac:dyDescent="0.4">
      <c r="A586" s="14"/>
      <c r="C586" s="19" t="str">
        <f t="shared" ref="C586" si="77">C6</f>
        <v>SC1</v>
      </c>
      <c r="D586" s="19" t="str">
        <f>D6</f>
        <v>SC3</v>
      </c>
      <c r="E586" s="19" t="str">
        <f>E6</f>
        <v>SC2 ND</v>
      </c>
      <c r="F586" s="19" t="str">
        <f>F6</f>
        <v>SC4</v>
      </c>
      <c r="G586" s="19" t="str">
        <f>G6</f>
        <v>SC6</v>
      </c>
      <c r="H586" s="19" t="str">
        <f>H6</f>
        <v>SC2 Dem</v>
      </c>
      <c r="I586" s="19" t="str">
        <f>$I$24</f>
        <v>SC1 TOD</v>
      </c>
    </row>
    <row r="587" spans="1:11" x14ac:dyDescent="0.35">
      <c r="A587" s="14"/>
      <c r="B587" s="3" t="s">
        <v>278</v>
      </c>
    </row>
    <row r="588" spans="1:11" x14ac:dyDescent="0.35">
      <c r="A588" s="14"/>
      <c r="B588" s="55" t="s">
        <v>69</v>
      </c>
      <c r="C588" s="65">
        <f t="shared" ref="C588:H588" si="78">+$C571*L48*C78/1000</f>
        <v>44668.197584665293</v>
      </c>
      <c r="D588" s="65">
        <f>+$C571*M48*D78/1000</f>
        <v>16.133607108995822</v>
      </c>
      <c r="E588" s="65">
        <f t="shared" si="78"/>
        <v>472.52877113256329</v>
      </c>
      <c r="F588" s="65">
        <f t="shared" si="78"/>
        <v>229.09487003466833</v>
      </c>
      <c r="G588" s="65">
        <f t="shared" si="78"/>
        <v>196.48277978216473</v>
      </c>
      <c r="H588" s="65">
        <f t="shared" si="78"/>
        <v>18052.770850467845</v>
      </c>
      <c r="I588" s="65">
        <f>+$C571*R48*C78/1000</f>
        <v>44668.197584665293</v>
      </c>
    </row>
    <row r="589" spans="1:11" x14ac:dyDescent="0.35">
      <c r="A589" s="14"/>
      <c r="B589" s="55" t="s">
        <v>62</v>
      </c>
      <c r="C589" s="174">
        <f t="shared" ref="C589:H589" si="79">+$C572*L44*C78/1000</f>
        <v>63540.146577084182</v>
      </c>
      <c r="D589" s="174">
        <f t="shared" si="79"/>
        <v>29.795307176521327</v>
      </c>
      <c r="E589" s="174">
        <f t="shared" si="79"/>
        <v>1295.1535190509335</v>
      </c>
      <c r="F589" s="174">
        <f t="shared" si="79"/>
        <v>660.30832666662366</v>
      </c>
      <c r="G589" s="174">
        <f t="shared" si="79"/>
        <v>521.34385076566991</v>
      </c>
      <c r="H589" s="174">
        <f t="shared" si="79"/>
        <v>34087.92564402664</v>
      </c>
      <c r="I589" s="174">
        <f>+$C572*R44*C78/1000</f>
        <v>63540.146577084182</v>
      </c>
    </row>
    <row r="590" spans="1:11" x14ac:dyDescent="0.35">
      <c r="A590" s="14"/>
      <c r="B590" s="55" t="s">
        <v>36</v>
      </c>
      <c r="C590" s="63">
        <f t="shared" ref="C590:I590" si="80">+C589+C588</f>
        <v>108208.34416174947</v>
      </c>
      <c r="D590" s="63">
        <f t="shared" si="80"/>
        <v>45.928914285517152</v>
      </c>
      <c r="E590" s="63">
        <f t="shared" si="80"/>
        <v>1767.6822901834967</v>
      </c>
      <c r="F590" s="63">
        <f t="shared" si="80"/>
        <v>889.40319670129202</v>
      </c>
      <c r="G590" s="65">
        <f t="shared" si="80"/>
        <v>717.82663054783461</v>
      </c>
      <c r="H590" s="65">
        <f t="shared" si="80"/>
        <v>52140.696494494485</v>
      </c>
      <c r="I590" s="63">
        <f t="shared" si="80"/>
        <v>108208.34416174947</v>
      </c>
    </row>
    <row r="591" spans="1:11" x14ac:dyDescent="0.35">
      <c r="A591" s="14"/>
      <c r="C591" s="120"/>
      <c r="D591" s="120"/>
      <c r="E591" s="120"/>
      <c r="F591" s="120"/>
      <c r="G591" s="120"/>
      <c r="H591" s="120"/>
      <c r="I591" s="120"/>
      <c r="J591" s="120"/>
    </row>
    <row r="592" spans="1:11" x14ac:dyDescent="0.35">
      <c r="A592" s="14"/>
      <c r="B592" s="55" t="s">
        <v>36</v>
      </c>
      <c r="C592" s="74"/>
      <c r="D592" s="120"/>
      <c r="E592" s="120"/>
      <c r="F592" s="120"/>
      <c r="G592" s="120"/>
      <c r="H592" s="120"/>
      <c r="I592" s="120"/>
      <c r="J592" s="120"/>
    </row>
    <row r="593" spans="1:7" x14ac:dyDescent="0.35">
      <c r="A593" s="14"/>
      <c r="B593" s="55" t="s">
        <v>69</v>
      </c>
      <c r="C593" s="63">
        <f>SUM(C588:H588)</f>
        <v>63635.208463191535</v>
      </c>
      <c r="G593" s="63"/>
    </row>
    <row r="594" spans="1:7" x14ac:dyDescent="0.35">
      <c r="A594" s="14"/>
      <c r="B594" s="55" t="s">
        <v>62</v>
      </c>
      <c r="C594" s="176">
        <f>SUM(C589:H589)</f>
        <v>100134.67322477058</v>
      </c>
      <c r="G594" s="63"/>
    </row>
    <row r="595" spans="1:7" x14ac:dyDescent="0.35">
      <c r="A595" s="14"/>
      <c r="B595" s="55" t="s">
        <v>36</v>
      </c>
      <c r="C595" s="63">
        <f>+C594+C593</f>
        <v>163769.8816879621</v>
      </c>
      <c r="G595" s="63"/>
    </row>
    <row r="596" spans="1:7" x14ac:dyDescent="0.35">
      <c r="A596" s="14"/>
      <c r="C596" s="120"/>
      <c r="D596" s="178"/>
      <c r="E596" s="120"/>
      <c r="F596" s="165"/>
    </row>
    <row r="597" spans="1:7" x14ac:dyDescent="0.35">
      <c r="B597" s="1" t="s">
        <v>279</v>
      </c>
      <c r="C597" s="63"/>
    </row>
    <row r="598" spans="1:7" x14ac:dyDescent="0.35">
      <c r="B598" s="55" t="s">
        <v>69</v>
      </c>
      <c r="C598" s="139">
        <f>ROUND($C$147*SUM($C$141:$H$141)/12*H$144/1000*D447,0)</f>
        <v>6255</v>
      </c>
    </row>
    <row r="599" spans="1:7" x14ac:dyDescent="0.35">
      <c r="B599" s="55" t="s">
        <v>62</v>
      </c>
      <c r="C599" s="179">
        <f>ROUND($C$147*SUM($C$141:$H$141)/12*H$145/1000*D447,0)</f>
        <v>12509</v>
      </c>
    </row>
    <row r="600" spans="1:7" x14ac:dyDescent="0.35">
      <c r="B600" s="55" t="s">
        <v>36</v>
      </c>
      <c r="C600" s="63">
        <f>SUM(C598:C599)</f>
        <v>18764</v>
      </c>
    </row>
    <row r="602" spans="1:7" x14ac:dyDescent="0.35">
      <c r="B602" s="3" t="s">
        <v>280</v>
      </c>
    </row>
    <row r="603" spans="1:7" x14ac:dyDescent="0.35">
      <c r="B603" s="55" t="s">
        <v>69</v>
      </c>
      <c r="C603" s="63">
        <f>C593-C598</f>
        <v>57380.208463191535</v>
      </c>
    </row>
    <row r="604" spans="1:7" x14ac:dyDescent="0.35">
      <c r="B604" s="55" t="s">
        <v>62</v>
      </c>
      <c r="C604" s="176">
        <f>C594-C599</f>
        <v>87625.67322477058</v>
      </c>
    </row>
    <row r="605" spans="1:7" ht="13.15" x14ac:dyDescent="0.4">
      <c r="B605" s="55" t="s">
        <v>36</v>
      </c>
      <c r="C605" s="177">
        <f>SUM(C603:C604)</f>
        <v>145005.8816879621</v>
      </c>
    </row>
    <row r="607" spans="1:7" x14ac:dyDescent="0.35">
      <c r="B607" s="3" t="s">
        <v>281</v>
      </c>
    </row>
    <row r="608" spans="1:7" x14ac:dyDescent="0.35">
      <c r="B608" s="55" t="s">
        <v>69</v>
      </c>
      <c r="C608" s="63">
        <f>C603-C582</f>
        <v>2763.208463191535</v>
      </c>
    </row>
    <row r="609" spans="2:3" x14ac:dyDescent="0.35">
      <c r="B609" s="55" t="s">
        <v>62</v>
      </c>
      <c r="C609" s="176">
        <f>C604-C583</f>
        <v>598.67322477058042</v>
      </c>
    </row>
    <row r="610" spans="2:3" x14ac:dyDescent="0.35">
      <c r="B610" s="55" t="s">
        <v>36</v>
      </c>
      <c r="C610" s="63">
        <f>SUM(C608:C609)</f>
        <v>3361.8816879621154</v>
      </c>
    </row>
  </sheetData>
  <mergeCells count="3">
    <mergeCell ref="T210:U210"/>
    <mergeCell ref="I376:J376"/>
    <mergeCell ref="I398:J398"/>
  </mergeCells>
  <pageMargins left="0.5" right="0.5" top="1" bottom="0.75" header="0.5" footer="0.5"/>
  <pageSetup scale="85" orientation="landscape" r:id="rId1"/>
  <headerFooter alignWithMargins="0">
    <oddHeader xml:space="preserve">&amp;L&amp;"Arial,Bold"&amp;UROCKLAND ELECTRIC COMPANY&amp;C&amp;"Arial,Bold Italic"
&amp;R&amp;"Arial,Bold"Attachment B&amp;"Arial,Regular"
Page &amp;P of &amp;N
</oddHeader>
    <oddFooter>&amp;L&amp;F&amp;C_x000D_&amp;1#&amp;"Aptos"&amp;22&amp;K0073CF INTERNAL&amp;R&amp;D</oddFooter>
  </headerFooter>
  <rowBreaks count="12" manualBreakCount="12">
    <brk id="39" max="9" man="1"/>
    <brk id="82" max="9" man="1"/>
    <brk id="118" max="9" man="1"/>
    <brk id="162" max="9" man="1"/>
    <brk id="206" max="9" man="1"/>
    <brk id="247" max="9" man="1"/>
    <brk id="285" max="9" man="1"/>
    <brk id="319" max="9" man="1"/>
    <brk id="358" max="9" man="1"/>
    <brk id="401" max="9" man="1"/>
    <brk id="442" max="9" man="1"/>
    <brk id="565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9547A-B859-4EAA-9FDA-1FDEA94F9C49}">
  <sheetPr codeName="Sheet5">
    <pageSetUpPr fitToPage="1"/>
  </sheetPr>
  <dimension ref="A1:N51"/>
  <sheetViews>
    <sheetView view="pageBreakPreview" zoomScaleNormal="100" zoomScaleSheetLayoutView="100" workbookViewId="0"/>
  </sheetViews>
  <sheetFormatPr defaultColWidth="9.1328125" defaultRowHeight="12.75" x14ac:dyDescent="0.35"/>
  <cols>
    <col min="1" max="1" width="9.1328125" style="3"/>
    <col min="2" max="2" width="4.73046875" style="3" customWidth="1"/>
    <col min="3" max="3" width="30.86328125" style="3" customWidth="1"/>
    <col min="4" max="6" width="9.59765625" style="3" customWidth="1"/>
    <col min="7" max="7" width="9.86328125" style="3" customWidth="1"/>
    <col min="8" max="8" width="1.73046875" style="3" customWidth="1"/>
    <col min="9" max="13" width="9.1328125" style="3"/>
    <col min="14" max="14" width="12.86328125" style="3" customWidth="1"/>
    <col min="15" max="17" width="9.1328125" style="3"/>
    <col min="18" max="18" width="13.1328125" style="3" customWidth="1"/>
    <col min="19" max="16384" width="9.1328125" style="3"/>
  </cols>
  <sheetData>
    <row r="1" spans="1:9" ht="13.15" x14ac:dyDescent="0.4">
      <c r="A1" s="57" t="s">
        <v>282</v>
      </c>
    </row>
    <row r="2" spans="1:9" ht="13.15" x14ac:dyDescent="0.4">
      <c r="A2" s="33" t="str">
        <f>'BGS Cost &amp; Bid Factors'!M1&amp;" BGS Auction"</f>
        <v>2027 BGS Auction</v>
      </c>
    </row>
    <row r="4" spans="1:9" s="161" customFormat="1" ht="13.15" x14ac:dyDescent="0.4">
      <c r="A4" s="33" t="s">
        <v>283</v>
      </c>
      <c r="B4" s="33" t="s">
        <v>284</v>
      </c>
    </row>
    <row r="5" spans="1:9" s="161" customFormat="1" ht="10.15" x14ac:dyDescent="0.3"/>
    <row r="6" spans="1:9" s="161" customFormat="1" ht="10.15" x14ac:dyDescent="0.3">
      <c r="D6" s="180">
        <v>2025</v>
      </c>
      <c r="E6" s="180">
        <v>2026</v>
      </c>
      <c r="F6" s="180">
        <v>2027</v>
      </c>
    </row>
    <row r="7" spans="1:9" s="161" customFormat="1" ht="10.15" x14ac:dyDescent="0.3">
      <c r="D7" s="180" t="s">
        <v>285</v>
      </c>
      <c r="E7" s="180" t="s">
        <v>285</v>
      </c>
      <c r="F7" s="180" t="s">
        <v>285</v>
      </c>
    </row>
    <row r="8" spans="1:9" s="161" customFormat="1" ht="10.15" x14ac:dyDescent="0.3">
      <c r="B8" s="181" t="s">
        <v>286</v>
      </c>
      <c r="C8" s="181" t="s">
        <v>287</v>
      </c>
      <c r="D8" s="182" t="s">
        <v>288</v>
      </c>
      <c r="E8" s="182" t="s">
        <v>288</v>
      </c>
      <c r="F8" s="182" t="s">
        <v>288</v>
      </c>
      <c r="G8" s="183" t="s">
        <v>36</v>
      </c>
      <c r="I8" s="181" t="s">
        <v>289</v>
      </c>
    </row>
    <row r="9" spans="1:9" s="161" customFormat="1" ht="10.15" x14ac:dyDescent="0.3">
      <c r="B9" s="180">
        <v>1</v>
      </c>
      <c r="C9" s="161" t="s">
        <v>290</v>
      </c>
      <c r="D9" s="161">
        <v>1</v>
      </c>
      <c r="E9" s="161">
        <v>2</v>
      </c>
      <c r="F9" s="161">
        <v>1</v>
      </c>
      <c r="G9" s="161">
        <f>SUM(D9:F9)</f>
        <v>4</v>
      </c>
      <c r="I9" s="161" t="s">
        <v>291</v>
      </c>
    </row>
    <row r="10" spans="1:9" s="161" customFormat="1" ht="10.15" x14ac:dyDescent="0.3">
      <c r="B10" s="180" t="s">
        <v>292</v>
      </c>
      <c r="C10" s="184" t="s">
        <v>293</v>
      </c>
      <c r="D10" s="185">
        <v>11.615</v>
      </c>
      <c r="E10" s="185">
        <v>12.057</v>
      </c>
      <c r="F10" s="185">
        <f>E14</f>
        <v>12.057</v>
      </c>
      <c r="I10" s="161" t="s">
        <v>294</v>
      </c>
    </row>
    <row r="11" spans="1:9" s="161" customFormat="1" ht="10.15" x14ac:dyDescent="0.3">
      <c r="B11" s="180" t="s">
        <v>295</v>
      </c>
      <c r="C11" s="184" t="s">
        <v>296</v>
      </c>
      <c r="D11" s="185">
        <f>'Attachment D-4 (EY27-28)'!C24/10</f>
        <v>0.78600000000000003</v>
      </c>
      <c r="E11" s="186"/>
      <c r="F11" s="186"/>
      <c r="I11" s="161" t="s">
        <v>297</v>
      </c>
    </row>
    <row r="12" spans="1:9" s="161" customFormat="1" ht="10.15" hidden="1" x14ac:dyDescent="0.3">
      <c r="B12" s="180" t="s">
        <v>298</v>
      </c>
      <c r="C12" s="184" t="s">
        <v>293</v>
      </c>
      <c r="D12" s="185">
        <f>D11+D10</f>
        <v>12.401</v>
      </c>
      <c r="E12" s="185">
        <f t="shared" ref="E12:F12" si="0">E11+E10</f>
        <v>12.057</v>
      </c>
      <c r="F12" s="185">
        <f t="shared" si="0"/>
        <v>12.057</v>
      </c>
      <c r="I12" s="161" t="s">
        <v>299</v>
      </c>
    </row>
    <row r="13" spans="1:9" s="161" customFormat="1" ht="10.15" hidden="1" x14ac:dyDescent="0.3">
      <c r="B13" s="180">
        <v>3</v>
      </c>
      <c r="C13" s="184" t="s">
        <v>300</v>
      </c>
      <c r="D13" s="185">
        <v>0</v>
      </c>
      <c r="E13" s="185">
        <v>0</v>
      </c>
      <c r="F13" s="185">
        <v>0</v>
      </c>
      <c r="I13" s="161" t="s">
        <v>301</v>
      </c>
    </row>
    <row r="14" spans="1:9" s="161" customFormat="1" ht="10.15" x14ac:dyDescent="0.3">
      <c r="B14" s="180">
        <v>3</v>
      </c>
      <c r="C14" s="184" t="s">
        <v>302</v>
      </c>
      <c r="D14" s="185">
        <f>D10+D11</f>
        <v>12.401</v>
      </c>
      <c r="E14" s="185">
        <f t="shared" ref="E14:F14" si="1">E10+E11</f>
        <v>12.057</v>
      </c>
      <c r="F14" s="185">
        <f t="shared" si="1"/>
        <v>12.057</v>
      </c>
      <c r="G14" s="185"/>
      <c r="I14" s="184" t="s">
        <v>303</v>
      </c>
    </row>
    <row r="15" spans="1:9" s="161" customFormat="1" ht="10.15" x14ac:dyDescent="0.3">
      <c r="B15" s="180">
        <v>4</v>
      </c>
      <c r="C15" s="184" t="s">
        <v>304</v>
      </c>
      <c r="D15" s="185">
        <f>D9/$G$9*D14</f>
        <v>3.10025</v>
      </c>
      <c r="E15" s="185">
        <f>E9/$G$9*E14</f>
        <v>6.0285000000000002</v>
      </c>
      <c r="F15" s="185">
        <f>F9/$G$9*F14</f>
        <v>3.0142500000000001</v>
      </c>
      <c r="G15" s="185">
        <f>SUM(D15:F15)</f>
        <v>12.143000000000001</v>
      </c>
      <c r="I15" s="184" t="s">
        <v>305</v>
      </c>
    </row>
    <row r="16" spans="1:9" s="161" customFormat="1" ht="10.15" hidden="1" x14ac:dyDescent="0.3">
      <c r="B16" s="180">
        <v>5</v>
      </c>
      <c r="C16" s="184" t="s">
        <v>306</v>
      </c>
      <c r="D16" s="185">
        <f>D9/$G$9*D13</f>
        <v>0</v>
      </c>
      <c r="E16" s="185">
        <f>E9/$G$9*E13</f>
        <v>0</v>
      </c>
      <c r="F16" s="185">
        <f>F9/$G$9*F13</f>
        <v>0</v>
      </c>
      <c r="G16" s="185">
        <f>SUM(D16:F16)</f>
        <v>0</v>
      </c>
      <c r="I16" s="184" t="s">
        <v>305</v>
      </c>
    </row>
    <row r="17" spans="2:14" s="161" customFormat="1" ht="10.15" x14ac:dyDescent="0.3">
      <c r="B17" s="180">
        <v>5</v>
      </c>
      <c r="C17" s="184" t="s">
        <v>307</v>
      </c>
      <c r="G17" s="187">
        <f>G15+G16</f>
        <v>12.143000000000001</v>
      </c>
    </row>
    <row r="18" spans="2:14" s="161" customFormat="1" ht="10.15" x14ac:dyDescent="0.3">
      <c r="B18" s="180"/>
    </row>
    <row r="19" spans="2:14" s="161" customFormat="1" ht="10.15" x14ac:dyDescent="0.3">
      <c r="B19" s="180"/>
      <c r="C19" s="181" t="s">
        <v>308</v>
      </c>
    </row>
    <row r="20" spans="2:14" s="161" customFormat="1" ht="10.15" x14ac:dyDescent="0.3">
      <c r="B20" s="180">
        <v>6</v>
      </c>
      <c r="C20" s="188" t="s">
        <v>309</v>
      </c>
      <c r="D20" s="189">
        <v>1</v>
      </c>
      <c r="E20" s="189">
        <v>1</v>
      </c>
      <c r="F20" s="189">
        <f>IF('BGS Cost &amp; Bid Factors'!J377&lt;1,1,'BGS Cost &amp; Bid Factors'!J377)</f>
        <v>1</v>
      </c>
      <c r="G20" s="161" t="s">
        <v>310</v>
      </c>
      <c r="I20" s="184" t="s">
        <v>311</v>
      </c>
    </row>
    <row r="21" spans="2:14" s="161" customFormat="1" ht="10.15" x14ac:dyDescent="0.3">
      <c r="B21" s="180">
        <v>7</v>
      </c>
      <c r="C21" s="188" t="s">
        <v>312</v>
      </c>
      <c r="D21" s="189">
        <v>1</v>
      </c>
      <c r="E21" s="189">
        <v>1</v>
      </c>
      <c r="F21" s="189">
        <f>IF('BGS Cost &amp; Bid Factors'!J378&gt;1,1,'BGS Cost &amp; Bid Factors'!J378)</f>
        <v>1</v>
      </c>
      <c r="G21" s="161" t="s">
        <v>310</v>
      </c>
      <c r="I21" s="184" t="s">
        <v>311</v>
      </c>
    </row>
    <row r="22" spans="2:14" s="161" customFormat="1" ht="10.15" x14ac:dyDescent="0.3">
      <c r="B22" s="180"/>
      <c r="D22" s="189"/>
      <c r="E22" s="189"/>
      <c r="F22" s="189"/>
    </row>
    <row r="23" spans="2:14" s="161" customFormat="1" ht="10.15" x14ac:dyDescent="0.3">
      <c r="B23" s="180"/>
      <c r="C23" s="181" t="s">
        <v>313</v>
      </c>
      <c r="F23" s="180" t="s">
        <v>314</v>
      </c>
    </row>
    <row r="24" spans="2:14" s="161" customFormat="1" ht="10.15" x14ac:dyDescent="0.3">
      <c r="B24" s="180">
        <v>8</v>
      </c>
      <c r="C24" s="190" t="s">
        <v>315</v>
      </c>
      <c r="D24" s="191">
        <f>'Rate Calculations'!$D$251</f>
        <v>443736.86909145082</v>
      </c>
      <c r="I24" s="184" t="s">
        <v>311</v>
      </c>
      <c r="N24" s="191"/>
    </row>
    <row r="25" spans="2:14" s="161" customFormat="1" ht="10.15" x14ac:dyDescent="0.3">
      <c r="B25" s="180">
        <v>9</v>
      </c>
      <c r="C25" s="190" t="s">
        <v>316</v>
      </c>
      <c r="D25" s="192">
        <f>'Rate Calculations'!$D$252</f>
        <v>622884.08255588706</v>
      </c>
      <c r="I25" s="184" t="s">
        <v>311</v>
      </c>
      <c r="N25" s="191"/>
    </row>
    <row r="26" spans="2:14" s="161" customFormat="1" ht="10.15" x14ac:dyDescent="0.3">
      <c r="B26" s="180">
        <v>10</v>
      </c>
      <c r="D26" s="191">
        <f>SUM(D24:D25)</f>
        <v>1066620.951647338</v>
      </c>
      <c r="N26" s="191"/>
    </row>
    <row r="27" spans="2:14" s="161" customFormat="1" ht="10.15" x14ac:dyDescent="0.3">
      <c r="B27" s="180"/>
    </row>
    <row r="28" spans="2:14" s="161" customFormat="1" ht="10.15" x14ac:dyDescent="0.3">
      <c r="B28" s="180"/>
      <c r="C28" s="181" t="s">
        <v>317</v>
      </c>
    </row>
    <row r="29" spans="2:14" s="161" customFormat="1" ht="10.15" x14ac:dyDescent="0.3">
      <c r="B29" s="180">
        <v>11</v>
      </c>
      <c r="C29" s="190" t="s">
        <v>69</v>
      </c>
      <c r="D29" s="191">
        <f>ROUND(D$9/$G$9*(D$14)/100*D$20*$D$24*1000,0)</f>
        <v>13756952</v>
      </c>
      <c r="E29" s="191">
        <f>ROUND(E$9/$G$9*(E$14)/100*E$20*$D$24*1000,0)</f>
        <v>26750677</v>
      </c>
      <c r="F29" s="191">
        <f>ROUND(F$9/$G$9*(F$14)/100*F$20*$D$24*1000,0)</f>
        <v>13375339</v>
      </c>
      <c r="G29" s="191">
        <f>SUM(D29:F29)</f>
        <v>53882968</v>
      </c>
      <c r="I29" s="184" t="s">
        <v>318</v>
      </c>
    </row>
    <row r="30" spans="2:14" s="161" customFormat="1" ht="10.15" x14ac:dyDescent="0.3">
      <c r="B30" s="180">
        <v>12</v>
      </c>
      <c r="C30" s="190" t="s">
        <v>62</v>
      </c>
      <c r="D30" s="192">
        <f>ROUND(D$9/$G$9*(D$14)/100*D$21*$D$25*1000,0)</f>
        <v>19310964</v>
      </c>
      <c r="E30" s="192">
        <f>ROUND(E$9/$G$9*(E$14)/100*E$21*$D$25*1000,0)</f>
        <v>37550567</v>
      </c>
      <c r="F30" s="192">
        <f>ROUND(F$9/$G$9*(F$14)/100*F$21*$D$25*1000,0)</f>
        <v>18775283</v>
      </c>
      <c r="G30" s="192">
        <f>SUM(D30:F30)</f>
        <v>75636814</v>
      </c>
      <c r="I30" s="184" t="s">
        <v>319</v>
      </c>
    </row>
    <row r="31" spans="2:14" s="161" customFormat="1" ht="10.15" x14ac:dyDescent="0.3">
      <c r="B31" s="180">
        <v>13</v>
      </c>
      <c r="C31" s="190" t="s">
        <v>36</v>
      </c>
      <c r="D31" s="191">
        <f>SUM(D29:D30)</f>
        <v>33067916</v>
      </c>
      <c r="E31" s="191">
        <f>SUM(E29:E30)</f>
        <v>64301244</v>
      </c>
      <c r="F31" s="191">
        <f>SUM(F29:F30)</f>
        <v>32150622</v>
      </c>
      <c r="G31" s="191">
        <f>SUM(G29:G30)</f>
        <v>129519782</v>
      </c>
      <c r="I31" s="184" t="s">
        <v>320</v>
      </c>
    </row>
    <row r="32" spans="2:14" s="161" customFormat="1" ht="10.15" x14ac:dyDescent="0.3">
      <c r="B32" s="180"/>
    </row>
    <row r="33" spans="2:9" s="161" customFormat="1" ht="10.15" x14ac:dyDescent="0.3">
      <c r="B33" s="180"/>
      <c r="C33" s="193" t="s">
        <v>321</v>
      </c>
    </row>
    <row r="34" spans="2:9" s="161" customFormat="1" ht="10.15" x14ac:dyDescent="0.3">
      <c r="B34" s="180">
        <v>14</v>
      </c>
      <c r="C34" s="190" t="s">
        <v>69</v>
      </c>
      <c r="D34" s="185">
        <f>ROUND(G29/D24/1000*100,3)</f>
        <v>12.143000000000001</v>
      </c>
      <c r="E34" s="161" t="s">
        <v>113</v>
      </c>
      <c r="I34" s="184" t="s">
        <v>322</v>
      </c>
    </row>
    <row r="35" spans="2:9" s="161" customFormat="1" ht="10.15" x14ac:dyDescent="0.3">
      <c r="B35" s="180">
        <v>15</v>
      </c>
      <c r="C35" s="190" t="s">
        <v>62</v>
      </c>
      <c r="D35" s="185">
        <f>ROUND(G30/D25/1000*100,3)</f>
        <v>12.143000000000001</v>
      </c>
      <c r="E35" s="161" t="s">
        <v>113</v>
      </c>
      <c r="I35" s="184" t="s">
        <v>323</v>
      </c>
    </row>
    <row r="36" spans="2:9" s="161" customFormat="1" ht="10.15" x14ac:dyDescent="0.3">
      <c r="B36" s="180">
        <v>16</v>
      </c>
      <c r="C36" s="190" t="s">
        <v>36</v>
      </c>
      <c r="D36" s="187">
        <f>ROUND(G31/D26/1000*100,3)</f>
        <v>12.143000000000001</v>
      </c>
      <c r="E36" s="161" t="s">
        <v>113</v>
      </c>
      <c r="I36" s="184" t="s">
        <v>324</v>
      </c>
    </row>
    <row r="37" spans="2:9" s="161" customFormat="1" ht="10.15" x14ac:dyDescent="0.3">
      <c r="B37" s="180"/>
      <c r="C37" s="191"/>
    </row>
    <row r="38" spans="2:9" s="161" customFormat="1" ht="10.15" x14ac:dyDescent="0.3">
      <c r="B38" s="180"/>
      <c r="C38" s="181" t="s">
        <v>325</v>
      </c>
    </row>
    <row r="39" spans="2:9" s="161" customFormat="1" ht="10.15" x14ac:dyDescent="0.3">
      <c r="B39" s="180"/>
      <c r="D39" s="190" t="s">
        <v>326</v>
      </c>
      <c r="E39" s="190" t="s">
        <v>327</v>
      </c>
    </row>
    <row r="40" spans="2:9" s="161" customFormat="1" ht="10.15" x14ac:dyDescent="0.3">
      <c r="B40" s="180"/>
      <c r="D40" s="183" t="s">
        <v>285</v>
      </c>
      <c r="E40" s="183" t="s">
        <v>328</v>
      </c>
      <c r="F40" s="194"/>
      <c r="G40" s="183" t="s">
        <v>36</v>
      </c>
    </row>
    <row r="41" spans="2:9" s="161" customFormat="1" ht="10.15" x14ac:dyDescent="0.3">
      <c r="B41" s="180">
        <v>17</v>
      </c>
      <c r="C41" s="161" t="s">
        <v>290</v>
      </c>
      <c r="D41" s="161">
        <f>SUM(D9:F9)</f>
        <v>4</v>
      </c>
      <c r="E41" s="161">
        <f>'BGS Cost &amp; Bid Factors'!M466</f>
        <v>0.55800000000000005</v>
      </c>
      <c r="G41" s="161">
        <f>SUM(D41:E41)</f>
        <v>4.5579999999999998</v>
      </c>
      <c r="I41" s="161" t="s">
        <v>329</v>
      </c>
    </row>
    <row r="42" spans="2:9" s="161" customFormat="1" ht="10.15" x14ac:dyDescent="0.3">
      <c r="B42" s="180">
        <v>18</v>
      </c>
      <c r="C42" s="161" t="s">
        <v>330</v>
      </c>
      <c r="D42" s="185">
        <f>D36</f>
        <v>12.143000000000001</v>
      </c>
      <c r="E42" s="185">
        <f>'Rate Calculations'!$D$286*(100/1000)</f>
        <v>10.106000000000002</v>
      </c>
      <c r="F42" s="185"/>
      <c r="I42" s="161" t="str">
        <f>"BGS Auction from (16)"</f>
        <v>BGS Auction from (16)</v>
      </c>
    </row>
    <row r="43" spans="2:9" s="161" customFormat="1" ht="10.15" x14ac:dyDescent="0.3">
      <c r="B43" s="180"/>
      <c r="D43" s="185"/>
      <c r="E43" s="187"/>
      <c r="F43" s="185"/>
    </row>
    <row r="44" spans="2:9" s="161" customFormat="1" ht="10.15" hidden="1" x14ac:dyDescent="0.3">
      <c r="B44" s="180">
        <v>19</v>
      </c>
      <c r="C44" s="161" t="s">
        <v>331</v>
      </c>
      <c r="D44" s="185">
        <f>F13</f>
        <v>0</v>
      </c>
      <c r="E44" s="185">
        <v>0</v>
      </c>
    </row>
    <row r="45" spans="2:9" s="161" customFormat="1" ht="10.15" hidden="1" x14ac:dyDescent="0.3">
      <c r="B45" s="180">
        <v>20</v>
      </c>
      <c r="C45" s="161" t="s">
        <v>326</v>
      </c>
      <c r="D45" s="185">
        <f>D42-D44</f>
        <v>12.143000000000001</v>
      </c>
      <c r="E45" s="161">
        <f>E42-E44</f>
        <v>10.106000000000002</v>
      </c>
      <c r="I45" s="184" t="s">
        <v>332</v>
      </c>
    </row>
    <row r="46" spans="2:9" s="161" customFormat="1" ht="10.5" thickBot="1" x14ac:dyDescent="0.35">
      <c r="B46" s="180">
        <v>19</v>
      </c>
      <c r="C46" s="184" t="s">
        <v>304</v>
      </c>
      <c r="D46" s="185">
        <f>D41/$G$41*D42</f>
        <v>10.6564282580079</v>
      </c>
      <c r="E46" s="185">
        <f>E41/$G$41*E42</f>
        <v>1.2371978938130763</v>
      </c>
      <c r="F46" s="185"/>
      <c r="G46" s="185">
        <f>SUM(D46:E46)</f>
        <v>11.893626151820976</v>
      </c>
      <c r="I46" s="184" t="s">
        <v>333</v>
      </c>
    </row>
    <row r="47" spans="2:9" s="161" customFormat="1" ht="10.5" hidden="1" thickBot="1" x14ac:dyDescent="0.35">
      <c r="B47" s="180">
        <v>22</v>
      </c>
      <c r="C47" s="184" t="s">
        <v>306</v>
      </c>
      <c r="D47" s="185">
        <f>D41/$G$41*D44</f>
        <v>0</v>
      </c>
      <c r="E47" s="185">
        <f>E41/$G$41*E44</f>
        <v>0</v>
      </c>
      <c r="F47" s="185"/>
      <c r="G47" s="185">
        <f>SUM(D47:E47)</f>
        <v>0</v>
      </c>
      <c r="I47" s="184" t="s">
        <v>334</v>
      </c>
    </row>
    <row r="48" spans="2:9" s="161" customFormat="1" ht="10.5" thickBot="1" x14ac:dyDescent="0.35">
      <c r="B48" s="180">
        <v>20</v>
      </c>
      <c r="C48" s="195" t="s">
        <v>335</v>
      </c>
      <c r="G48" s="196">
        <f>ROUND(G46,3)</f>
        <v>11.894</v>
      </c>
      <c r="I48" s="184" t="s">
        <v>336</v>
      </c>
    </row>
    <row r="50" spans="3:3" x14ac:dyDescent="0.35">
      <c r="C50" s="197" t="s">
        <v>337</v>
      </c>
    </row>
    <row r="51" spans="3:3" x14ac:dyDescent="0.35">
      <c r="C51" s="197" t="s">
        <v>338</v>
      </c>
    </row>
  </sheetData>
  <printOptions horizontalCentered="1"/>
  <pageMargins left="0.5" right="0.5" top="0.5" bottom="0.5" header="0.5" footer="0.5"/>
  <pageSetup scale="90" orientation="landscape" r:id="rId1"/>
  <headerFooter alignWithMargins="0">
    <oddHeader xml:space="preserve">&amp;R&amp;"Arial,Bold"Attachment C&amp;"Arial,Regular"
Page &amp;P of &amp;N
</oddHeader>
    <oddFooter>&amp;C_x000D_&amp;1#&amp;"Aptos"&amp;22&amp;K0073CF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CE555-19AB-4B97-92A2-2F30E2EE668D}">
  <sheetPr codeName="Sheet6"/>
  <dimension ref="A1:AJ286"/>
  <sheetViews>
    <sheetView view="pageBreakPreview" zoomScaleNormal="100" zoomScaleSheetLayoutView="100" workbookViewId="0"/>
  </sheetViews>
  <sheetFormatPr defaultColWidth="9.1328125" defaultRowHeight="12.75" x14ac:dyDescent="0.35"/>
  <cols>
    <col min="1" max="1" width="9.59765625" style="205" customWidth="1"/>
    <col min="2" max="2" width="27.86328125" customWidth="1"/>
    <col min="3" max="3" width="14.1328125" customWidth="1"/>
    <col min="4" max="4" width="14.86328125" customWidth="1"/>
    <col min="5" max="5" width="12.73046875" customWidth="1"/>
    <col min="6" max="7" width="13.3984375" customWidth="1"/>
    <col min="8" max="8" width="12.73046875" customWidth="1"/>
    <col min="9" max="9" width="11.86328125" customWidth="1"/>
    <col min="10" max="10" width="12.59765625" customWidth="1"/>
    <col min="11" max="11" width="10.73046875" customWidth="1"/>
    <col min="12" max="12" width="11.73046875" customWidth="1"/>
    <col min="13" max="14" width="9.3984375" customWidth="1"/>
    <col min="15" max="15" width="11.73046875" customWidth="1"/>
    <col min="16" max="17" width="9.3984375" customWidth="1"/>
    <col min="18" max="18" width="11.59765625" customWidth="1"/>
    <col min="19" max="19" width="8.73046875" customWidth="1"/>
    <col min="20" max="20" width="12.73046875" customWidth="1"/>
    <col min="21" max="21" width="10.1328125" customWidth="1"/>
    <col min="22" max="26" width="8.73046875" customWidth="1"/>
    <col min="27" max="27" width="18.3984375" customWidth="1"/>
    <col min="28" max="28" width="19.265625" customWidth="1"/>
    <col min="29" max="29" width="21" customWidth="1"/>
    <col min="30" max="37" width="9.3984375" customWidth="1"/>
  </cols>
  <sheetData>
    <row r="1" spans="1:10" ht="13.15" x14ac:dyDescent="0.4">
      <c r="A1" s="57" t="s">
        <v>282</v>
      </c>
    </row>
    <row r="2" spans="1:10" ht="13.15" x14ac:dyDescent="0.4">
      <c r="A2" s="33" t="str">
        <f>'BGS Cost &amp; Bid Factors'!M1 &amp;" BGS Auction"</f>
        <v>2027 BGS Auction</v>
      </c>
    </row>
    <row r="3" spans="1:10" ht="13.15" x14ac:dyDescent="0.4">
      <c r="A3" s="33"/>
    </row>
    <row r="4" spans="1:10" ht="13.15" x14ac:dyDescent="0.4">
      <c r="A4" s="33"/>
    </row>
    <row r="6" spans="1:10" ht="13.15" x14ac:dyDescent="0.4">
      <c r="A6" s="144" t="s">
        <v>339</v>
      </c>
      <c r="B6" s="13" t="s">
        <v>171</v>
      </c>
      <c r="H6" s="3"/>
    </row>
    <row r="7" spans="1:10" x14ac:dyDescent="0.35">
      <c r="A7" s="54"/>
      <c r="B7" s="78" t="s">
        <v>340</v>
      </c>
      <c r="H7" s="3"/>
    </row>
    <row r="8" spans="1:10" x14ac:dyDescent="0.35">
      <c r="A8" s="14"/>
      <c r="B8" s="3"/>
    </row>
    <row r="9" spans="1:10" ht="13.15" x14ac:dyDescent="0.4">
      <c r="A9" s="14"/>
      <c r="B9" s="33" t="s">
        <v>153</v>
      </c>
    </row>
    <row r="10" spans="1:10" x14ac:dyDescent="0.35">
      <c r="A10" s="14"/>
      <c r="B10" s="12" t="s">
        <v>341</v>
      </c>
    </row>
    <row r="11" spans="1:10" ht="13.15" x14ac:dyDescent="0.4">
      <c r="A11" s="14"/>
      <c r="B11" s="33"/>
    </row>
    <row r="12" spans="1:10" ht="13.15" x14ac:dyDescent="0.4">
      <c r="A12" s="14"/>
      <c r="C12" s="35" t="str">
        <f>'BGS Cost &amp; Bid Factors'!C$6</f>
        <v>SC1</v>
      </c>
      <c r="D12" s="35" t="str">
        <f>'BGS Cost &amp; Bid Factors'!D$6</f>
        <v>SC3</v>
      </c>
      <c r="E12" s="35" t="str">
        <f>'BGS Cost &amp; Bid Factors'!E$6</f>
        <v>SC2 ND</v>
      </c>
      <c r="F12" s="35" t="str">
        <f>'BGS Cost &amp; Bid Factors'!F$6</f>
        <v>SC4</v>
      </c>
      <c r="G12" s="35" t="str">
        <f>'BGS Cost &amp; Bid Factors'!G$6</f>
        <v>SC6</v>
      </c>
      <c r="H12" s="35" t="str">
        <f>'BGS Cost &amp; Bid Factors'!I$24</f>
        <v>SC1 TOD</v>
      </c>
    </row>
    <row r="13" spans="1:10" ht="13.15" x14ac:dyDescent="0.4">
      <c r="A13" s="14"/>
      <c r="C13" s="19"/>
      <c r="D13" s="19"/>
      <c r="E13" s="19"/>
      <c r="H13" s="19"/>
    </row>
    <row r="14" spans="1:10" ht="13.15" x14ac:dyDescent="0.4">
      <c r="A14" s="14"/>
      <c r="B14" s="198" t="s">
        <v>64</v>
      </c>
      <c r="C14" s="118">
        <f>'BGS Cost &amp; Bid Factors'!C327</f>
        <v>1.0429999999999999</v>
      </c>
      <c r="D14" s="119"/>
      <c r="E14" s="118">
        <f>'BGS Cost &amp; Bid Factors'!E327</f>
        <v>0.86899999999999999</v>
      </c>
      <c r="F14" s="118">
        <f>'BGS Cost &amp; Bid Factors'!F327</f>
        <v>0.66400000000000003</v>
      </c>
      <c r="G14" s="118">
        <f>'BGS Cost &amp; Bid Factors'!G327</f>
        <v>0.66200000000000003</v>
      </c>
      <c r="H14" s="119"/>
      <c r="I14" s="120"/>
      <c r="J14" s="120"/>
    </row>
    <row r="15" spans="1:10" ht="13.15" x14ac:dyDescent="0.4">
      <c r="A15" s="14"/>
      <c r="B15" s="199" t="s">
        <v>79</v>
      </c>
      <c r="C15" s="119"/>
      <c r="D15" s="118">
        <f>'BGS Cost &amp; Bid Factors'!D328</f>
        <v>1.2609999999999999</v>
      </c>
      <c r="E15" s="119"/>
      <c r="F15" s="119"/>
      <c r="G15" s="119"/>
      <c r="H15" s="118">
        <f>'BGS Cost &amp; Bid Factors'!H328</f>
        <v>1.8620000000000001</v>
      </c>
      <c r="I15" s="120"/>
      <c r="J15" s="120"/>
    </row>
    <row r="16" spans="1:10" ht="13.15" x14ac:dyDescent="0.4">
      <c r="A16" s="14"/>
      <c r="B16" s="199" t="s">
        <v>80</v>
      </c>
      <c r="C16" s="119"/>
      <c r="D16" s="118">
        <f>'BGS Cost &amp; Bid Factors'!D329</f>
        <v>0.56899999999999995</v>
      </c>
      <c r="E16" s="119"/>
      <c r="F16" s="119"/>
      <c r="G16" s="119"/>
      <c r="H16" s="118">
        <f>'BGS Cost &amp; Bid Factors'!H329</f>
        <v>0.67600000000000005</v>
      </c>
      <c r="I16" s="120"/>
      <c r="J16" s="120"/>
    </row>
    <row r="17" spans="1:10" x14ac:dyDescent="0.35">
      <c r="A17" s="14"/>
      <c r="B17" s="3"/>
      <c r="C17" s="119"/>
      <c r="D17" s="119"/>
      <c r="E17" s="119"/>
      <c r="F17" s="119"/>
      <c r="G17" s="119"/>
      <c r="H17" s="119"/>
      <c r="I17" s="120"/>
      <c r="J17" s="120"/>
    </row>
    <row r="18" spans="1:10" ht="13.15" x14ac:dyDescent="0.4">
      <c r="A18" s="14"/>
      <c r="B18" s="86"/>
      <c r="C18" s="3"/>
      <c r="D18" s="119"/>
      <c r="E18" s="119"/>
      <c r="F18" s="119"/>
      <c r="G18" s="119"/>
      <c r="H18" s="119"/>
      <c r="I18" s="120"/>
      <c r="J18" s="120"/>
    </row>
    <row r="19" spans="1:10" ht="13.15" x14ac:dyDescent="0.4">
      <c r="A19" s="14"/>
      <c r="B19" s="122" t="s">
        <v>155</v>
      </c>
      <c r="C19" s="123">
        <f>'BGS Cost &amp; Bid Factors'!C332</f>
        <v>-54.020820999999998</v>
      </c>
      <c r="D19" s="119"/>
      <c r="E19" s="119"/>
      <c r="F19" s="119"/>
      <c r="G19" s="119"/>
      <c r="H19" s="119"/>
      <c r="I19" s="120"/>
      <c r="J19" s="120"/>
    </row>
    <row r="20" spans="1:10" ht="13.15" x14ac:dyDescent="0.4">
      <c r="A20" s="14"/>
      <c r="B20" s="122" t="s">
        <v>156</v>
      </c>
      <c r="C20" s="123">
        <f>'BGS Cost &amp; Bid Factors'!C333</f>
        <v>40.769178999999994</v>
      </c>
      <c r="D20" s="119"/>
      <c r="E20" s="119"/>
      <c r="F20" s="119"/>
      <c r="G20" s="119"/>
      <c r="H20" s="119"/>
      <c r="I20" s="120"/>
      <c r="J20" s="120"/>
    </row>
    <row r="21" spans="1:10" x14ac:dyDescent="0.35">
      <c r="A21" s="14"/>
      <c r="B21" s="119"/>
      <c r="C21" s="119"/>
      <c r="D21" s="119"/>
      <c r="E21" s="119"/>
      <c r="F21" s="119"/>
      <c r="G21" s="119"/>
      <c r="H21" s="119"/>
      <c r="I21" s="120"/>
      <c r="J21" s="120"/>
    </row>
    <row r="22" spans="1:10" x14ac:dyDescent="0.35">
      <c r="A22" s="14"/>
      <c r="B22" s="3"/>
      <c r="C22" s="119"/>
      <c r="D22" s="119"/>
      <c r="E22" s="119"/>
      <c r="F22" s="119"/>
      <c r="G22" s="119"/>
      <c r="H22" s="119"/>
      <c r="I22" s="120"/>
      <c r="J22" s="120"/>
    </row>
    <row r="23" spans="1:10" ht="13.15" x14ac:dyDescent="0.4">
      <c r="A23" s="14"/>
      <c r="B23" s="198" t="s">
        <v>70</v>
      </c>
      <c r="C23" s="118">
        <f>'BGS Cost &amp; Bid Factors'!C336</f>
        <v>1.2230000000000001</v>
      </c>
      <c r="D23" s="119"/>
      <c r="E23" s="118">
        <f>'BGS Cost &amp; Bid Factors'!E336</f>
        <v>0.93799999999999994</v>
      </c>
      <c r="F23" s="118">
        <f>'BGS Cost &amp; Bid Factors'!F336</f>
        <v>0.752</v>
      </c>
      <c r="G23" s="118">
        <f>'BGS Cost &amp; Bid Factors'!G336</f>
        <v>0.74299999999999999</v>
      </c>
      <c r="H23" s="119"/>
      <c r="I23" s="120"/>
      <c r="J23" s="120"/>
    </row>
    <row r="24" spans="1:10" ht="13.15" x14ac:dyDescent="0.4">
      <c r="A24" s="14"/>
      <c r="B24" s="199" t="s">
        <v>79</v>
      </c>
      <c r="C24" s="119"/>
      <c r="D24" s="118">
        <f>'BGS Cost &amp; Bid Factors'!D337</f>
        <v>1.4119999999999999</v>
      </c>
      <c r="E24" s="119"/>
      <c r="F24" s="119"/>
      <c r="G24" s="119"/>
      <c r="H24" s="118">
        <f>'BGS Cost &amp; Bid Factors'!H337</f>
        <v>2.661</v>
      </c>
      <c r="I24" s="120"/>
      <c r="J24" s="120"/>
    </row>
    <row r="25" spans="1:10" ht="13.15" x14ac:dyDescent="0.4">
      <c r="A25" s="14"/>
      <c r="B25" s="199" t="s">
        <v>80</v>
      </c>
      <c r="C25" s="119"/>
      <c r="D25" s="118">
        <f>'BGS Cost &amp; Bid Factors'!D338</f>
        <v>0.71299999999999997</v>
      </c>
      <c r="E25" s="119"/>
      <c r="F25" s="119"/>
      <c r="G25" s="119"/>
      <c r="H25" s="118">
        <f>'BGS Cost &amp; Bid Factors'!H338</f>
        <v>0.76100000000000001</v>
      </c>
      <c r="I25" s="120"/>
      <c r="J25" s="120"/>
    </row>
    <row r="26" spans="1:10" x14ac:dyDescent="0.35">
      <c r="A26" s="14"/>
      <c r="C26" s="120"/>
      <c r="D26" s="120"/>
      <c r="E26" s="120"/>
      <c r="F26" s="120"/>
      <c r="G26" s="120"/>
      <c r="H26" s="120"/>
      <c r="I26" s="120"/>
      <c r="J26" s="120"/>
    </row>
    <row r="27" spans="1:10" x14ac:dyDescent="0.35">
      <c r="A27" s="14"/>
      <c r="B27" t="s">
        <v>157</v>
      </c>
      <c r="C27" s="124">
        <f>'BGS Cost &amp; Bid Factors'!C340</f>
        <v>1.1439999999999999</v>
      </c>
      <c r="D27" s="124">
        <f>'BGS Cost &amp; Bid Factors'!D340</f>
        <v>0.92700000000000005</v>
      </c>
      <c r="E27" s="124">
        <f>'BGS Cost &amp; Bid Factors'!E340</f>
        <v>0.91777629624671442</v>
      </c>
      <c r="F27" s="124">
        <f>'BGS Cost &amp; Bid Factors'!F340</f>
        <v>0.72799999999999998</v>
      </c>
      <c r="G27" s="124">
        <f>'BGS Cost &amp; Bid Factors'!G340</f>
        <v>0.71899999999999997</v>
      </c>
      <c r="H27" s="124">
        <f>'BGS Cost &amp; Bid Factors'!H340</f>
        <v>1.1439999999999999</v>
      </c>
      <c r="I27" s="120"/>
      <c r="J27" s="120"/>
    </row>
    <row r="28" spans="1:10" x14ac:dyDescent="0.35">
      <c r="A28" s="14"/>
    </row>
    <row r="29" spans="1:10" x14ac:dyDescent="0.35">
      <c r="A29" s="14"/>
    </row>
    <row r="30" spans="1:10" ht="13.15" x14ac:dyDescent="0.4">
      <c r="A30" s="14"/>
      <c r="B30" s="33" t="s">
        <v>158</v>
      </c>
    </row>
    <row r="31" spans="1:10" x14ac:dyDescent="0.35">
      <c r="A31" s="14"/>
      <c r="B31" s="12" t="s">
        <v>172</v>
      </c>
    </row>
    <row r="32" spans="1:10" x14ac:dyDescent="0.35">
      <c r="A32" s="14"/>
      <c r="B32" s="3"/>
    </row>
    <row r="33" spans="1:12" ht="13.15" x14ac:dyDescent="0.4">
      <c r="A33" s="14"/>
      <c r="C33" s="86" t="str">
        <f>'BGS Cost &amp; Bid Factors'!H6</f>
        <v>SC2 Dem</v>
      </c>
      <c r="D33" s="86" t="str">
        <f>+C33</f>
        <v>SC2 Dem</v>
      </c>
      <c r="E33" s="19"/>
      <c r="F33" s="19"/>
      <c r="G33" s="127" t="s">
        <v>134</v>
      </c>
    </row>
    <row r="34" spans="1:12" ht="13.15" x14ac:dyDescent="0.4">
      <c r="A34" s="14"/>
      <c r="C34" s="35" t="s">
        <v>160</v>
      </c>
      <c r="D34" s="136" t="s">
        <v>161</v>
      </c>
      <c r="E34" s="19"/>
      <c r="F34" s="19"/>
      <c r="G34" s="200"/>
    </row>
    <row r="35" spans="1:12" ht="13.15" x14ac:dyDescent="0.4">
      <c r="A35" s="14"/>
      <c r="B35" s="198" t="s">
        <v>64</v>
      </c>
      <c r="C35" s="118">
        <f>'BGS Cost &amp; Bid Factors'!C348</f>
        <v>0.88900000000000001</v>
      </c>
      <c r="D35" s="118">
        <f>'BGS Cost &amp; Bid Factors'!D348</f>
        <v>-24.103919325243737</v>
      </c>
      <c r="F35" s="201"/>
      <c r="G35" s="94" t="s">
        <v>135</v>
      </c>
    </row>
    <row r="36" spans="1:12" ht="13.15" x14ac:dyDescent="0.4">
      <c r="A36" s="14"/>
      <c r="B36" s="199"/>
      <c r="C36" s="124"/>
      <c r="D36" s="137"/>
      <c r="E36" s="121"/>
      <c r="F36" s="130"/>
      <c r="G36" s="200"/>
    </row>
    <row r="37" spans="1:12" ht="13.15" x14ac:dyDescent="0.4">
      <c r="A37" s="14"/>
      <c r="B37" s="199"/>
      <c r="C37" s="124"/>
      <c r="D37" s="137"/>
      <c r="E37" s="121"/>
      <c r="F37" s="130"/>
      <c r="G37" s="200"/>
      <c r="H37" s="35" t="s">
        <v>12</v>
      </c>
      <c r="J37" s="35"/>
      <c r="K37" s="35"/>
    </row>
    <row r="38" spans="1:12" ht="13.15" x14ac:dyDescent="0.4">
      <c r="A38" s="14"/>
      <c r="C38" s="124"/>
      <c r="D38" s="137"/>
      <c r="E38" s="119"/>
      <c r="F38" s="130"/>
      <c r="G38" s="200"/>
    </row>
    <row r="39" spans="1:12" ht="13.15" x14ac:dyDescent="0.4">
      <c r="A39" s="14"/>
      <c r="B39" s="198" t="s">
        <v>70</v>
      </c>
      <c r="C39" s="118">
        <f>'BGS Cost &amp; Bid Factors'!C352</f>
        <v>0.99099999999999999</v>
      </c>
      <c r="D39" s="118">
        <f>'BGS Cost &amp; Bid Factors'!D352</f>
        <v>-27.611027035867806</v>
      </c>
      <c r="E39" s="121"/>
      <c r="F39" s="130"/>
      <c r="G39" s="202" t="s">
        <v>100</v>
      </c>
      <c r="H39" s="58">
        <f>'BGS Cost &amp; Bid Factors'!I352</f>
        <v>7.05</v>
      </c>
      <c r="J39" s="87"/>
    </row>
    <row r="40" spans="1:12" ht="13.15" x14ac:dyDescent="0.4">
      <c r="A40" s="14"/>
      <c r="B40" s="199"/>
      <c r="C40" s="124"/>
      <c r="D40" s="203"/>
      <c r="E40" s="121"/>
      <c r="F40" s="130"/>
      <c r="G40" s="202" t="s">
        <v>106</v>
      </c>
      <c r="H40" s="58">
        <f>'BGS Cost &amp; Bid Factors'!I353</f>
        <v>8.16</v>
      </c>
      <c r="J40" s="87"/>
    </row>
    <row r="41" spans="1:12" ht="13.15" x14ac:dyDescent="0.4">
      <c r="A41" s="14"/>
      <c r="B41" s="199"/>
      <c r="C41" s="124"/>
      <c r="D41" s="203"/>
      <c r="E41" s="121"/>
      <c r="F41" s="130"/>
      <c r="G41" s="202"/>
      <c r="H41" s="58"/>
      <c r="I41" s="204"/>
    </row>
    <row r="42" spans="1:12" x14ac:dyDescent="0.35">
      <c r="A42" s="14"/>
      <c r="C42" s="126"/>
      <c r="D42" s="203"/>
      <c r="E42" s="120"/>
      <c r="G42" s="132"/>
    </row>
    <row r="43" spans="1:12" ht="13.15" x14ac:dyDescent="0.4">
      <c r="A43" s="14"/>
      <c r="B43" t="s">
        <v>142</v>
      </c>
      <c r="C43" s="118">
        <f>'BGS Cost &amp; Bid Factors'!C356</f>
        <v>0.95299999999999996</v>
      </c>
      <c r="D43" s="203"/>
      <c r="E43" s="120"/>
      <c r="G43" s="202"/>
      <c r="H43" s="58"/>
      <c r="I43" s="204"/>
    </row>
    <row r="44" spans="1:12" x14ac:dyDescent="0.35">
      <c r="A44" s="14"/>
    </row>
    <row r="46" spans="1:12" ht="13.15" x14ac:dyDescent="0.4">
      <c r="A46" s="144" t="s">
        <v>342</v>
      </c>
      <c r="B46" s="13" t="s">
        <v>343</v>
      </c>
    </row>
    <row r="48" spans="1:12" x14ac:dyDescent="0.35">
      <c r="B48" s="205" t="s">
        <v>344</v>
      </c>
      <c r="D48" s="206">
        <f>'Weighted Avg Price Calc'!G48*10</f>
        <v>118.94</v>
      </c>
      <c r="E48" s="207" t="s">
        <v>345</v>
      </c>
      <c r="F48" s="207" t="s">
        <v>250</v>
      </c>
      <c r="K48" s="161" t="s">
        <v>223</v>
      </c>
      <c r="L48" s="156">
        <f>'BGS Cost &amp; Bid Factors'!M464</f>
        <v>47.5</v>
      </c>
    </row>
    <row r="49" spans="2:13" x14ac:dyDescent="0.35">
      <c r="B49" s="205" t="s">
        <v>251</v>
      </c>
      <c r="D49" s="164">
        <v>0</v>
      </c>
      <c r="E49" s="207" t="s">
        <v>346</v>
      </c>
      <c r="F49" t="s">
        <v>252</v>
      </c>
      <c r="K49" s="161" t="s">
        <v>225</v>
      </c>
      <c r="L49" s="156">
        <f>'BGS Cost &amp; Bid Factors'!M465</f>
        <v>85.05</v>
      </c>
    </row>
    <row r="50" spans="2:13" x14ac:dyDescent="0.35">
      <c r="B50" s="205" t="s">
        <v>253</v>
      </c>
      <c r="D50" s="201">
        <f>D48+D49</f>
        <v>118.94</v>
      </c>
      <c r="E50" s="207" t="s">
        <v>119</v>
      </c>
      <c r="K50" s="161" t="s">
        <v>227</v>
      </c>
      <c r="L50">
        <f>ROUND(L48/L49,3)</f>
        <v>0.55800000000000005</v>
      </c>
    </row>
    <row r="51" spans="2:13" x14ac:dyDescent="0.35">
      <c r="L51" s="208"/>
    </row>
    <row r="52" spans="2:13" x14ac:dyDescent="0.35">
      <c r="D52" s="165"/>
      <c r="K52" s="161" t="s">
        <v>231</v>
      </c>
      <c r="L52" s="208">
        <f>'BGS Cost &amp; Bid Factors'!D223-'BGS Cost &amp; Bid Factors'!D318</f>
        <v>17.591167898830406</v>
      </c>
      <c r="M52" t="s">
        <v>232</v>
      </c>
    </row>
    <row r="53" spans="2:13" x14ac:dyDescent="0.35">
      <c r="B53" s="85" t="s">
        <v>255</v>
      </c>
      <c r="K53" s="161" t="s">
        <v>234</v>
      </c>
      <c r="L53" s="208">
        <f>L55</f>
        <v>2.15</v>
      </c>
      <c r="M53" t="s">
        <v>232</v>
      </c>
    </row>
    <row r="54" spans="2:13" x14ac:dyDescent="0.35">
      <c r="K54" s="161" t="s">
        <v>236</v>
      </c>
      <c r="L54" s="209">
        <f>L52-L53</f>
        <v>15.441167898830406</v>
      </c>
      <c r="M54" t="s">
        <v>232</v>
      </c>
    </row>
    <row r="55" spans="2:13" ht="13.15" x14ac:dyDescent="0.4">
      <c r="C55" s="35" t="str">
        <f>'BGS Cost &amp; Bid Factors'!C$6</f>
        <v>SC1</v>
      </c>
      <c r="D55" s="35" t="str">
        <f>'BGS Cost &amp; Bid Factors'!D$6</f>
        <v>SC3</v>
      </c>
      <c r="E55" s="35" t="str">
        <f>'BGS Cost &amp; Bid Factors'!E$6</f>
        <v>SC2 ND</v>
      </c>
      <c r="F55" s="35" t="str">
        <f>'BGS Cost &amp; Bid Factors'!F$6</f>
        <v>SC4</v>
      </c>
      <c r="G55" s="35" t="str">
        <f>'BGS Cost &amp; Bid Factors'!G$6</f>
        <v>SC6</v>
      </c>
      <c r="H55" s="35" t="str">
        <f>'BGS Cost &amp; Bid Factors'!H$6</f>
        <v>SC2 Dem</v>
      </c>
      <c r="I55" s="35" t="str">
        <f>'BGS Cost &amp; Bid Factors'!I$24</f>
        <v>SC1 TOD</v>
      </c>
      <c r="L55" s="210">
        <f>ROUND(L50/(4+L50)*L52,2)</f>
        <v>2.15</v>
      </c>
    </row>
    <row r="56" spans="2:13" x14ac:dyDescent="0.35">
      <c r="B56" s="167" t="s">
        <v>69</v>
      </c>
    </row>
    <row r="57" spans="2:13" x14ac:dyDescent="0.35">
      <c r="B57" s="211" t="s">
        <v>256</v>
      </c>
      <c r="C57" s="212">
        <f>ROUND(($D$50*C14)/10,3)</f>
        <v>12.404999999999999</v>
      </c>
      <c r="D57" s="213"/>
      <c r="E57" s="213">
        <f>ROUND(E14*$D$50/10,3)</f>
        <v>10.336</v>
      </c>
      <c r="F57" s="213">
        <f>ROUND(F14*$D$50/10,3)</f>
        <v>7.8979999999999997</v>
      </c>
      <c r="G57" s="213">
        <f>ROUND(G14*$D$50/10,3)</f>
        <v>7.8739999999999997</v>
      </c>
      <c r="H57" s="213">
        <f>ROUND((C35*$D$50+D35)/10,3)</f>
        <v>8.1630000000000003</v>
      </c>
      <c r="I57" s="213"/>
    </row>
    <row r="58" spans="2:13" x14ac:dyDescent="0.35">
      <c r="B58" s="211" t="s">
        <v>257</v>
      </c>
      <c r="C58" s="213"/>
      <c r="D58" s="213">
        <f>ROUND(D15*$D$50/10,3)</f>
        <v>14.997999999999999</v>
      </c>
      <c r="E58" s="213"/>
      <c r="F58" s="213"/>
      <c r="G58" s="213"/>
      <c r="H58" s="213"/>
      <c r="I58" s="213">
        <f>ROUND(H15*$D$50/10,3)</f>
        <v>22.146999999999998</v>
      </c>
    </row>
    <row r="59" spans="2:13" x14ac:dyDescent="0.35">
      <c r="B59" s="211" t="s">
        <v>258</v>
      </c>
      <c r="C59" s="213"/>
      <c r="D59" s="213">
        <f>ROUND(D16*$D$50/10,3)</f>
        <v>6.7679999999999998</v>
      </c>
      <c r="E59" s="213"/>
      <c r="F59" s="213"/>
      <c r="G59" s="213"/>
      <c r="H59" s="213"/>
      <c r="I59" s="213">
        <f>ROUND(H16*$D$50/10,3)</f>
        <v>8.0399999999999991</v>
      </c>
    </row>
    <row r="60" spans="2:13" x14ac:dyDescent="0.35">
      <c r="B60" s="37" t="s">
        <v>41</v>
      </c>
      <c r="C60" s="170">
        <f>ROUND(($D$50*C14+C19)/10,3)</f>
        <v>7.0030000000000001</v>
      </c>
      <c r="D60" s="81"/>
      <c r="E60" s="213"/>
      <c r="F60" s="213"/>
      <c r="G60" s="213"/>
      <c r="H60" s="213"/>
      <c r="I60" s="213"/>
    </row>
    <row r="61" spans="2:13" x14ac:dyDescent="0.35">
      <c r="B61" s="39" t="s">
        <v>42</v>
      </c>
      <c r="C61" s="81">
        <f>ROUND(($D$50*C14+C20)/10,3)</f>
        <v>16.481999999999999</v>
      </c>
      <c r="D61" s="81"/>
      <c r="E61" s="213"/>
      <c r="F61" s="213"/>
      <c r="G61" s="213"/>
      <c r="H61" s="213"/>
      <c r="I61" s="213"/>
    </row>
    <row r="62" spans="2:13" x14ac:dyDescent="0.35">
      <c r="B62" s="213"/>
      <c r="C62" s="213"/>
      <c r="D62" s="81"/>
      <c r="E62" s="213"/>
      <c r="F62" s="213"/>
      <c r="G62" s="213"/>
      <c r="H62" s="213"/>
      <c r="I62" s="213"/>
    </row>
    <row r="63" spans="2:13" x14ac:dyDescent="0.35">
      <c r="C63" s="213"/>
      <c r="D63" s="213"/>
      <c r="E63" s="213"/>
      <c r="F63" s="213"/>
      <c r="G63" s="213"/>
      <c r="H63" s="213"/>
      <c r="I63" s="213"/>
    </row>
    <row r="64" spans="2:13" x14ac:dyDescent="0.35">
      <c r="B64" s="214" t="s">
        <v>259</v>
      </c>
      <c r="C64" s="213"/>
      <c r="D64" s="213"/>
      <c r="E64" s="213"/>
      <c r="F64" s="213"/>
      <c r="G64" s="213"/>
      <c r="H64" s="209">
        <f>'BGS Cost &amp; Bid Factors'!H213</f>
        <v>7.05</v>
      </c>
      <c r="I64" s="213"/>
    </row>
    <row r="65" spans="1:10" x14ac:dyDescent="0.35">
      <c r="B65" s="214"/>
      <c r="C65" s="213"/>
      <c r="D65" s="213"/>
      <c r="E65" s="213"/>
      <c r="F65" s="213"/>
      <c r="G65" s="213"/>
      <c r="H65" s="213"/>
      <c r="I65" s="213"/>
    </row>
    <row r="66" spans="1:10" x14ac:dyDescent="0.35">
      <c r="C66" s="213"/>
      <c r="D66" s="213"/>
      <c r="E66" s="213"/>
      <c r="F66" s="213"/>
      <c r="G66" s="213"/>
      <c r="H66" s="213"/>
      <c r="I66" s="213"/>
    </row>
    <row r="67" spans="1:10" x14ac:dyDescent="0.35">
      <c r="B67" s="167" t="s">
        <v>62</v>
      </c>
      <c r="C67" s="213"/>
      <c r="D67" s="213"/>
      <c r="E67" s="213"/>
      <c r="F67" s="213"/>
      <c r="G67" s="213"/>
      <c r="H67" s="213"/>
      <c r="I67" s="213"/>
    </row>
    <row r="68" spans="1:10" x14ac:dyDescent="0.35">
      <c r="B68" s="211" t="s">
        <v>256</v>
      </c>
      <c r="C68" s="213">
        <f>ROUND(C23*$D$50/10,3)</f>
        <v>14.545999999999999</v>
      </c>
      <c r="D68" s="213"/>
      <c r="E68" s="213">
        <f>ROUND(E23*$D$50/10,3)</f>
        <v>11.157</v>
      </c>
      <c r="F68" s="213">
        <f>ROUND(F23*$D$50/10,3)</f>
        <v>8.9440000000000008</v>
      </c>
      <c r="G68" s="213">
        <f>ROUND(G23*$D$50/10,3)</f>
        <v>8.8369999999999997</v>
      </c>
      <c r="H68" s="213">
        <f>ROUND((C39*$D$50+D39)/10,3)</f>
        <v>9.0259999999999998</v>
      </c>
      <c r="I68" s="213"/>
    </row>
    <row r="69" spans="1:10" x14ac:dyDescent="0.35">
      <c r="B69" s="211" t="s">
        <v>257</v>
      </c>
      <c r="C69" s="213"/>
      <c r="D69" s="213">
        <f>ROUND(D24*$D$50/10,3)</f>
        <v>16.794</v>
      </c>
      <c r="E69" s="213"/>
      <c r="F69" s="213"/>
      <c r="G69" s="213"/>
      <c r="H69" s="213"/>
      <c r="I69" s="213">
        <f>ROUND(H24*$D$50/10,3)</f>
        <v>31.65</v>
      </c>
    </row>
    <row r="70" spans="1:10" x14ac:dyDescent="0.35">
      <c r="B70" s="211" t="s">
        <v>258</v>
      </c>
      <c r="C70" s="213"/>
      <c r="D70" s="213">
        <f>ROUND(D25*$D$50/10,3)</f>
        <v>8.48</v>
      </c>
      <c r="E70" s="213"/>
      <c r="F70" s="213"/>
      <c r="G70" s="213"/>
      <c r="H70" s="213"/>
      <c r="I70" s="213">
        <f>ROUND(H25*$D$50/10,3)</f>
        <v>9.0510000000000002</v>
      </c>
    </row>
    <row r="71" spans="1:10" x14ac:dyDescent="0.35">
      <c r="C71" s="213"/>
      <c r="D71" s="213"/>
      <c r="E71" s="213"/>
      <c r="F71" s="213"/>
      <c r="G71" s="213"/>
      <c r="H71" s="213"/>
      <c r="I71" s="213"/>
    </row>
    <row r="72" spans="1:10" x14ac:dyDescent="0.35">
      <c r="B72" s="214" t="s">
        <v>259</v>
      </c>
      <c r="C72" s="213"/>
      <c r="D72" s="213"/>
      <c r="E72" s="213"/>
      <c r="F72" s="213"/>
      <c r="G72" s="213"/>
      <c r="H72" s="209">
        <f>'BGS Cost &amp; Bid Factors'!H214</f>
        <v>8.16</v>
      </c>
      <c r="I72" s="213"/>
    </row>
    <row r="73" spans="1:10" x14ac:dyDescent="0.35">
      <c r="B73" s="214"/>
      <c r="C73" s="213"/>
      <c r="D73" s="213"/>
      <c r="E73" s="213"/>
      <c r="F73" s="213"/>
      <c r="G73" s="213"/>
      <c r="H73" s="213"/>
      <c r="I73" s="213"/>
    </row>
    <row r="74" spans="1:10" x14ac:dyDescent="0.35">
      <c r="B74" s="214"/>
      <c r="C74" s="213"/>
      <c r="D74" s="213"/>
      <c r="E74" s="213"/>
      <c r="F74" s="213"/>
      <c r="G74" s="213"/>
      <c r="H74" s="213"/>
      <c r="I74" s="213"/>
    </row>
    <row r="75" spans="1:10" x14ac:dyDescent="0.35">
      <c r="B75" s="214"/>
      <c r="H75" s="215"/>
      <c r="I75" s="215"/>
    </row>
    <row r="76" spans="1:10" ht="13.15" x14ac:dyDescent="0.4">
      <c r="A76" s="144" t="s">
        <v>347</v>
      </c>
      <c r="B76" s="13" t="s">
        <v>348</v>
      </c>
      <c r="H76" s="215"/>
      <c r="I76" s="215"/>
    </row>
    <row r="77" spans="1:10" x14ac:dyDescent="0.35">
      <c r="B77" s="214"/>
      <c r="H77" s="215"/>
      <c r="I77" s="215"/>
    </row>
    <row r="78" spans="1:10" ht="13.15" x14ac:dyDescent="0.4">
      <c r="C78" s="35" t="str">
        <f>'BGS Cost &amp; Bid Factors'!C$6</f>
        <v>SC1</v>
      </c>
      <c r="D78" s="35" t="str">
        <f>'BGS Cost &amp; Bid Factors'!D$6</f>
        <v>SC3</v>
      </c>
      <c r="E78" s="35" t="str">
        <f>'BGS Cost &amp; Bid Factors'!E$6</f>
        <v>SC2 ND</v>
      </c>
      <c r="F78" s="35" t="str">
        <f>'BGS Cost &amp; Bid Factors'!F$6</f>
        <v>SC4</v>
      </c>
      <c r="G78" s="35" t="str">
        <f>'BGS Cost &amp; Bid Factors'!G$6</f>
        <v>SC6</v>
      </c>
      <c r="H78" s="35" t="str">
        <f>'BGS Cost &amp; Bid Factors'!H$6</f>
        <v>SC2 Dem</v>
      </c>
      <c r="I78" s="35" t="str">
        <f>'BGS Cost &amp; Bid Factors'!I$24</f>
        <v>SC1 TOD</v>
      </c>
      <c r="J78" s="66"/>
    </row>
    <row r="79" spans="1:10" x14ac:dyDescent="0.35">
      <c r="B79" s="207" t="s">
        <v>277</v>
      </c>
      <c r="E79" s="3"/>
      <c r="F79" s="3"/>
      <c r="G79" s="3"/>
      <c r="H79" s="3"/>
      <c r="I79" s="3"/>
      <c r="J79" s="66"/>
    </row>
    <row r="80" spans="1:10" x14ac:dyDescent="0.35">
      <c r="B80" s="216" t="s">
        <v>69</v>
      </c>
      <c r="C80" s="217">
        <f>ROUND((C57*'BGS Cost &amp; Bid Factors'!L$48)/100,0)</f>
        <v>40890</v>
      </c>
      <c r="D80" s="218">
        <f>ROUND((D58*'BGS Cost &amp; Bid Factors'!M$49+D59*'BGS Cost &amp; Bid Factors'!M$50)/100,0)</f>
        <v>12</v>
      </c>
      <c r="E80" s="65">
        <f>ROUND((E57*'BGS Cost &amp; Bid Factors'!N$48)/100,0)</f>
        <v>360</v>
      </c>
      <c r="F80" s="65">
        <f>ROUND((F57*'BGS Cost &amp; Bid Factors'!O$48)/100,0)</f>
        <v>134</v>
      </c>
      <c r="G80" s="65">
        <f>ROUND((G57*'BGS Cost &amp; Bid Factors'!P$48)/100,0)</f>
        <v>115</v>
      </c>
      <c r="H80" s="64">
        <f>ROUND(H57*'BGS Cost &amp; Bid Factors'!Q$48/100+(H64*(('Backup Calcs'!G95)/4*'BGS Cost &amp; Bid Factors'!H$144))/1000,0)</f>
        <v>14086</v>
      </c>
      <c r="I80" s="64">
        <f>ROUND((I58*'BGS Cost &amp; Bid Factors'!R$49+I59*'BGS Cost &amp; Bid Factors'!R$50)/100,0)</f>
        <v>40842</v>
      </c>
      <c r="J80" s="66"/>
    </row>
    <row r="81" spans="2:10" x14ac:dyDescent="0.35">
      <c r="B81" s="216" t="s">
        <v>62</v>
      </c>
      <c r="C81" s="174">
        <f>ROUND(C68*'BGS Cost &amp; Bid Factors'!L$44/100,0)</f>
        <v>60844</v>
      </c>
      <c r="D81" s="175">
        <f>ROUND((D69*'BGS Cost &amp; Bid Factors'!M$45+D70*'BGS Cost &amp; Bid Factors'!M$46)/100,0)</f>
        <v>23</v>
      </c>
      <c r="E81" s="174">
        <f>ROUND(E68*'BGS Cost &amp; Bid Factors'!N$44/100,0)</f>
        <v>951</v>
      </c>
      <c r="F81" s="174">
        <f>ROUND(F68*'BGS Cost &amp; Bid Factors'!O$44/100,0)</f>
        <v>390</v>
      </c>
      <c r="G81" s="174">
        <f>ROUND(G68*'BGS Cost &amp; Bid Factors'!P$44/100,0)</f>
        <v>304</v>
      </c>
      <c r="H81" s="175">
        <f>ROUND(H68*'BGS Cost &amp; Bid Factors'!Q$44/100+(H72*(('Backup Calcs'!G96)/8*'BGS Cost &amp; Bid Factors'!H$145))/1000,0)</f>
        <v>26450</v>
      </c>
      <c r="I81" s="175">
        <f>ROUND((I69*'BGS Cost &amp; Bid Factors'!R$45+I70*'BGS Cost &amp; Bid Factors'!R$46)/100,0)</f>
        <v>60847</v>
      </c>
      <c r="J81" s="66"/>
    </row>
    <row r="82" spans="2:10" x14ac:dyDescent="0.35">
      <c r="B82" s="216" t="s">
        <v>36</v>
      </c>
      <c r="C82" s="219">
        <f t="shared" ref="C82:I82" si="0">+C81+C80</f>
        <v>101734</v>
      </c>
      <c r="D82" s="219">
        <f t="shared" si="0"/>
        <v>35</v>
      </c>
      <c r="E82" s="63">
        <f t="shared" si="0"/>
        <v>1311</v>
      </c>
      <c r="F82" s="63">
        <f t="shared" si="0"/>
        <v>524</v>
      </c>
      <c r="G82" s="63">
        <f t="shared" si="0"/>
        <v>419</v>
      </c>
      <c r="H82" s="63">
        <f t="shared" si="0"/>
        <v>40536</v>
      </c>
      <c r="I82" s="63">
        <f t="shared" si="0"/>
        <v>101689</v>
      </c>
      <c r="J82" s="66"/>
    </row>
    <row r="83" spans="2:10" x14ac:dyDescent="0.35">
      <c r="B83" s="216"/>
      <c r="C83" s="219"/>
      <c r="D83" s="219"/>
      <c r="E83" s="63"/>
      <c r="F83" s="63"/>
      <c r="G83" s="63"/>
      <c r="H83" s="63"/>
      <c r="I83" s="66"/>
      <c r="J83" s="3"/>
    </row>
    <row r="84" spans="2:10" x14ac:dyDescent="0.35">
      <c r="B84" s="216" t="s">
        <v>36</v>
      </c>
      <c r="C84" s="219"/>
      <c r="D84" s="219"/>
      <c r="E84" s="63"/>
      <c r="F84" s="63"/>
      <c r="G84" s="63"/>
      <c r="H84" s="63"/>
      <c r="I84" s="66"/>
      <c r="J84" s="3"/>
    </row>
    <row r="85" spans="2:10" x14ac:dyDescent="0.35">
      <c r="B85" s="216" t="s">
        <v>69</v>
      </c>
      <c r="C85" s="219">
        <f>SUM(C80:H80)</f>
        <v>55597</v>
      </c>
      <c r="D85" s="219"/>
      <c r="E85" s="219"/>
      <c r="G85" s="219"/>
      <c r="H85" s="219"/>
      <c r="I85" s="215"/>
    </row>
    <row r="86" spans="2:10" x14ac:dyDescent="0.35">
      <c r="B86" s="216" t="s">
        <v>62</v>
      </c>
      <c r="C86" s="176">
        <f>SUM(C81:H81)</f>
        <v>88962</v>
      </c>
      <c r="D86" s="120"/>
      <c r="I86" s="215"/>
    </row>
    <row r="87" spans="2:10" x14ac:dyDescent="0.35">
      <c r="B87" s="216" t="s">
        <v>36</v>
      </c>
      <c r="C87" s="219">
        <f>+C86+C85</f>
        <v>144559</v>
      </c>
      <c r="D87" s="120"/>
      <c r="I87" s="215"/>
    </row>
    <row r="88" spans="2:10" x14ac:dyDescent="0.35">
      <c r="B88" s="216"/>
      <c r="C88" s="219"/>
      <c r="E88" s="120"/>
      <c r="J88" s="215"/>
    </row>
    <row r="89" spans="2:10" x14ac:dyDescent="0.35">
      <c r="C89" s="120"/>
      <c r="D89" s="120"/>
      <c r="E89" s="120"/>
      <c r="F89" s="120"/>
      <c r="G89" s="120"/>
      <c r="H89" s="120"/>
      <c r="I89" s="120"/>
      <c r="J89" s="215"/>
    </row>
    <row r="90" spans="2:10" x14ac:dyDescent="0.35">
      <c r="B90" s="167" t="s">
        <v>349</v>
      </c>
      <c r="C90" s="120"/>
      <c r="D90" s="120"/>
      <c r="E90" s="120"/>
      <c r="F90" s="120"/>
      <c r="G90" s="120"/>
      <c r="H90" s="120"/>
      <c r="I90" s="120"/>
      <c r="J90" s="215"/>
    </row>
    <row r="91" spans="2:10" x14ac:dyDescent="0.35">
      <c r="C91" s="120"/>
      <c r="D91" s="120"/>
      <c r="E91" s="120"/>
      <c r="F91" s="120"/>
      <c r="G91" s="120"/>
      <c r="H91" s="120"/>
      <c r="I91" s="120"/>
      <c r="J91" s="215"/>
    </row>
    <row r="92" spans="2:10" ht="15" x14ac:dyDescent="0.65">
      <c r="B92" t="s">
        <v>350</v>
      </c>
      <c r="C92" s="220" t="s">
        <v>36</v>
      </c>
      <c r="D92" s="220" t="s">
        <v>331</v>
      </c>
      <c r="E92" s="220" t="s">
        <v>351</v>
      </c>
      <c r="F92" s="120"/>
      <c r="G92" s="221"/>
      <c r="H92" s="120"/>
      <c r="I92" s="120"/>
      <c r="J92" s="215"/>
    </row>
    <row r="93" spans="2:10" x14ac:dyDescent="0.35">
      <c r="B93" s="216" t="s">
        <v>69</v>
      </c>
      <c r="C93" s="219">
        <f>'Weighted Avg Price Calc'!G$29/1000</f>
        <v>53882.968000000001</v>
      </c>
      <c r="D93" s="222"/>
      <c r="E93" s="219">
        <f>C93-D93</f>
        <v>53882.968000000001</v>
      </c>
      <c r="F93" s="120"/>
      <c r="G93" s="221">
        <f>ROUND('BGS Cost &amp; Bid Factors'!$C$147*SUM('BGS Cost &amp; Bid Factors'!$C$141:$H$141)/12*'BGS Cost &amp; Bid Factors'!H$144/1000*'BGS Cost &amp; Bid Factors'!D447,0)</f>
        <v>6255</v>
      </c>
      <c r="H93" s="120"/>
      <c r="I93" s="120"/>
      <c r="J93" s="215"/>
    </row>
    <row r="94" spans="2:10" ht="15" x14ac:dyDescent="0.65">
      <c r="B94" s="216" t="s">
        <v>62</v>
      </c>
      <c r="C94" s="223">
        <f>'Weighted Avg Price Calc'!G$30/1000</f>
        <v>75636.813999999998</v>
      </c>
      <c r="D94" s="223"/>
      <c r="E94" s="223">
        <f>C94-D94</f>
        <v>75636.813999999998</v>
      </c>
      <c r="F94" s="120"/>
      <c r="G94" s="221">
        <f>ROUND('BGS Cost &amp; Bid Factors'!$C$147*SUM('BGS Cost &amp; Bid Factors'!$C$141:$H$141)/12*'BGS Cost &amp; Bid Factors'!H$145/1000*'BGS Cost &amp; Bid Factors'!F459,0)</f>
        <v>12509</v>
      </c>
      <c r="H94" s="120"/>
      <c r="I94" s="120"/>
      <c r="J94" s="215"/>
    </row>
    <row r="95" spans="2:10" x14ac:dyDescent="0.35">
      <c r="B95" s="216" t="s">
        <v>36</v>
      </c>
      <c r="C95" s="63">
        <f>+C94+C93</f>
        <v>129519.78200000001</v>
      </c>
      <c r="D95" s="219">
        <f>D93+D94</f>
        <v>0</v>
      </c>
      <c r="E95" s="219">
        <f>E93+E94</f>
        <v>129519.78200000001</v>
      </c>
      <c r="F95" s="120"/>
      <c r="G95" s="221"/>
      <c r="H95" s="120"/>
      <c r="I95" s="120"/>
      <c r="J95" s="215"/>
    </row>
    <row r="96" spans="2:10" x14ac:dyDescent="0.35">
      <c r="C96" s="120"/>
      <c r="D96" s="120"/>
      <c r="E96" s="120"/>
      <c r="F96" s="120"/>
      <c r="G96" s="224"/>
      <c r="H96" s="120"/>
      <c r="I96" s="120"/>
      <c r="J96" s="215"/>
    </row>
    <row r="97" spans="2:10" ht="15" x14ac:dyDescent="0.65">
      <c r="B97" t="s">
        <v>352</v>
      </c>
      <c r="C97" s="220" t="s">
        <v>36</v>
      </c>
      <c r="D97" s="220" t="s">
        <v>331</v>
      </c>
      <c r="E97" s="220" t="s">
        <v>351</v>
      </c>
      <c r="F97" s="120"/>
      <c r="G97" s="120"/>
      <c r="H97" s="120"/>
      <c r="I97" s="120"/>
      <c r="J97" s="215"/>
    </row>
    <row r="98" spans="2:10" x14ac:dyDescent="0.35">
      <c r="B98" s="216" t="s">
        <v>69</v>
      </c>
      <c r="C98" s="219">
        <f>ROUND($E$251*1000*'Weighted Avg Price Calc'!E42/100/1000,0)</f>
        <v>6256</v>
      </c>
      <c r="D98" s="219">
        <v>0</v>
      </c>
      <c r="E98" s="219">
        <f>C98-D98</f>
        <v>6256</v>
      </c>
      <c r="F98" s="120"/>
      <c r="G98" s="120"/>
      <c r="H98" s="120"/>
      <c r="I98" s="120"/>
      <c r="J98" s="215"/>
    </row>
    <row r="99" spans="2:10" ht="15" x14ac:dyDescent="0.65">
      <c r="B99" s="216" t="s">
        <v>62</v>
      </c>
      <c r="C99" s="223">
        <f>ROUND($E$252*1000*'Weighted Avg Price Calc'!E42/100/1000,0)</f>
        <v>8781</v>
      </c>
      <c r="D99" s="223">
        <v>0</v>
      </c>
      <c r="E99" s="223">
        <f>C99-D99</f>
        <v>8781</v>
      </c>
      <c r="F99" s="120"/>
      <c r="G99" s="120"/>
      <c r="H99" s="120"/>
      <c r="I99" s="120"/>
      <c r="J99" s="215"/>
    </row>
    <row r="100" spans="2:10" x14ac:dyDescent="0.35">
      <c r="B100" s="216" t="s">
        <v>36</v>
      </c>
      <c r="C100" s="63">
        <f>+C99+C98</f>
        <v>15037</v>
      </c>
      <c r="D100" s="219">
        <f>D98+D99</f>
        <v>0</v>
      </c>
      <c r="E100" s="219">
        <f>E98+E99</f>
        <v>15037</v>
      </c>
      <c r="F100" s="120"/>
      <c r="G100" s="120"/>
      <c r="H100" s="120"/>
      <c r="I100" s="120"/>
      <c r="J100" s="215"/>
    </row>
    <row r="101" spans="2:10" x14ac:dyDescent="0.35">
      <c r="C101" s="120"/>
      <c r="D101" s="120"/>
      <c r="E101" s="120"/>
      <c r="F101" s="120"/>
      <c r="G101" s="120"/>
      <c r="H101" s="120"/>
      <c r="I101" s="120"/>
      <c r="J101" s="215"/>
    </row>
    <row r="102" spans="2:10" ht="15" x14ac:dyDescent="0.65">
      <c r="B102" t="s">
        <v>353</v>
      </c>
      <c r="C102" s="220" t="s">
        <v>36</v>
      </c>
      <c r="D102" s="220" t="s">
        <v>331</v>
      </c>
      <c r="E102" s="220" t="s">
        <v>351</v>
      </c>
      <c r="F102" s="120"/>
      <c r="G102" s="120"/>
      <c r="H102" s="120"/>
      <c r="I102" s="120"/>
      <c r="J102" s="215"/>
    </row>
    <row r="103" spans="2:10" x14ac:dyDescent="0.35">
      <c r="B103" s="216" t="s">
        <v>69</v>
      </c>
      <c r="C103" s="219">
        <f>C93+C98</f>
        <v>60138.968000000001</v>
      </c>
      <c r="D103" s="219">
        <f>D93+D98</f>
        <v>0</v>
      </c>
      <c r="E103" s="219">
        <f>C103-D103</f>
        <v>60138.968000000001</v>
      </c>
      <c r="J103" s="215"/>
    </row>
    <row r="104" spans="2:10" ht="15" x14ac:dyDescent="0.65">
      <c r="B104" s="216" t="s">
        <v>62</v>
      </c>
      <c r="C104" s="223">
        <f>C94+C99</f>
        <v>84417.813999999998</v>
      </c>
      <c r="D104" s="223">
        <f>D94+D99</f>
        <v>0</v>
      </c>
      <c r="E104" s="223">
        <f>C104-D104</f>
        <v>84417.813999999998</v>
      </c>
      <c r="J104" s="215"/>
    </row>
    <row r="105" spans="2:10" x14ac:dyDescent="0.35">
      <c r="B105" s="216" t="s">
        <v>36</v>
      </c>
      <c r="C105" s="63">
        <f>+C104+C103</f>
        <v>144556.78200000001</v>
      </c>
      <c r="D105" s="63">
        <f>+D104+D103</f>
        <v>0</v>
      </c>
      <c r="E105" s="219">
        <f>E103+E104</f>
        <v>144556.78200000001</v>
      </c>
      <c r="J105" s="215"/>
    </row>
    <row r="106" spans="2:10" x14ac:dyDescent="0.35">
      <c r="C106" s="120"/>
      <c r="D106" s="178"/>
      <c r="E106" s="120"/>
      <c r="F106" s="165"/>
      <c r="G106" s="214" t="s">
        <v>354</v>
      </c>
      <c r="J106" s="215"/>
    </row>
    <row r="107" spans="2:10" x14ac:dyDescent="0.35">
      <c r="B107" t="s">
        <v>281</v>
      </c>
      <c r="C107" s="214" t="s">
        <v>326</v>
      </c>
      <c r="D107" s="214" t="s">
        <v>326</v>
      </c>
      <c r="E107" s="214"/>
      <c r="G107" s="214" t="s">
        <v>355</v>
      </c>
      <c r="J107" s="215"/>
    </row>
    <row r="108" spans="2:10" x14ac:dyDescent="0.35">
      <c r="B108" s="214"/>
      <c r="C108" s="149" t="s">
        <v>356</v>
      </c>
      <c r="D108" s="149" t="s">
        <v>357</v>
      </c>
      <c r="E108" s="149" t="s">
        <v>358</v>
      </c>
      <c r="G108" s="149" t="s">
        <v>359</v>
      </c>
      <c r="I108" s="215"/>
      <c r="J108" s="215"/>
    </row>
    <row r="109" spans="2:10" ht="13.15" x14ac:dyDescent="0.4">
      <c r="B109" s="216" t="s">
        <v>69</v>
      </c>
      <c r="C109" s="219">
        <f>C85</f>
        <v>55597</v>
      </c>
      <c r="D109" s="219">
        <f>E103</f>
        <v>60138.968000000001</v>
      </c>
      <c r="E109" s="219">
        <f>D109-C109</f>
        <v>4541.9680000000008</v>
      </c>
      <c r="G109" s="33">
        <f>ROUND(1+E109/C85,5)</f>
        <v>1.08169</v>
      </c>
      <c r="I109" s="215"/>
      <c r="J109" s="215"/>
    </row>
    <row r="110" spans="2:10" ht="13.15" x14ac:dyDescent="0.4">
      <c r="B110" s="216" t="s">
        <v>62</v>
      </c>
      <c r="C110" s="176">
        <f>C86</f>
        <v>88962</v>
      </c>
      <c r="D110" s="176">
        <f>E104</f>
        <v>84417.813999999998</v>
      </c>
      <c r="E110" s="176">
        <f>D110-C110</f>
        <v>-4544.1860000000015</v>
      </c>
      <c r="G110" s="33">
        <f>ROUND(1+E110/C86,5)</f>
        <v>0.94891999999999999</v>
      </c>
      <c r="I110" s="215"/>
      <c r="J110" s="215"/>
    </row>
    <row r="111" spans="2:10" x14ac:dyDescent="0.35">
      <c r="B111" s="216" t="s">
        <v>36</v>
      </c>
      <c r="C111" s="219">
        <f>+C110+C109</f>
        <v>144559</v>
      </c>
      <c r="D111" s="219">
        <f>+D110+D109</f>
        <v>144556.78200000001</v>
      </c>
      <c r="E111" s="219">
        <f>+E110+E109</f>
        <v>-2.2180000000007567</v>
      </c>
      <c r="I111" s="215"/>
      <c r="J111" s="215"/>
    </row>
    <row r="112" spans="2:10" x14ac:dyDescent="0.35">
      <c r="B112" s="214"/>
      <c r="I112" s="215"/>
      <c r="J112" s="215"/>
    </row>
    <row r="113" spans="1:36" ht="13.15" x14ac:dyDescent="0.4">
      <c r="A113" s="144" t="s">
        <v>360</v>
      </c>
      <c r="B113" s="13" t="s">
        <v>361</v>
      </c>
    </row>
    <row r="114" spans="1:36" ht="13.15" x14ac:dyDescent="0.4">
      <c r="A114" s="144"/>
      <c r="B114" s="13"/>
    </row>
    <row r="115" spans="1:36" ht="13.15" x14ac:dyDescent="0.4">
      <c r="A115" s="144"/>
      <c r="B115" s="13"/>
    </row>
    <row r="116" spans="1:36" ht="13.15" x14ac:dyDescent="0.4">
      <c r="B116" s="57" t="s">
        <v>362</v>
      </c>
      <c r="K116" s="57"/>
      <c r="T116" s="57"/>
      <c r="AC116" s="57"/>
    </row>
    <row r="117" spans="1:36" ht="13.15" x14ac:dyDescent="0.4">
      <c r="B117" s="33"/>
      <c r="K117" s="33"/>
      <c r="T117" s="33"/>
      <c r="AC117" s="33"/>
    </row>
    <row r="118" spans="1:36" ht="13.15" x14ac:dyDescent="0.4">
      <c r="C118" s="35" t="str">
        <f>'BGS Cost &amp; Bid Factors'!C$6</f>
        <v>SC1</v>
      </c>
      <c r="D118" s="35" t="str">
        <f>'BGS Cost &amp; Bid Factors'!D$6</f>
        <v>SC3</v>
      </c>
      <c r="E118" s="35" t="str">
        <f>'BGS Cost &amp; Bid Factors'!E$6</f>
        <v>SC2 ND</v>
      </c>
      <c r="F118" s="35" t="str">
        <f>'BGS Cost &amp; Bid Factors'!F$6</f>
        <v>SC4</v>
      </c>
      <c r="G118" s="35" t="str">
        <f>'BGS Cost &amp; Bid Factors'!G$6</f>
        <v>SC6</v>
      </c>
      <c r="H118" s="35" t="str">
        <f>'BGS Cost &amp; Bid Factors'!H$6</f>
        <v>SC2 Dem</v>
      </c>
      <c r="I118" s="35" t="str">
        <f>'BGS Cost &amp; Bid Factors'!I$24</f>
        <v>SC1 TOD</v>
      </c>
      <c r="J118" s="19"/>
      <c r="L118" s="35"/>
      <c r="M118" s="35"/>
      <c r="N118" s="35"/>
      <c r="O118" s="35"/>
      <c r="P118" s="35"/>
      <c r="Q118" s="35"/>
      <c r="T118" s="35"/>
      <c r="U118" s="35"/>
      <c r="V118" s="35"/>
      <c r="W118" s="35"/>
      <c r="X118" s="35"/>
      <c r="Y118" s="35"/>
      <c r="AB118" s="35"/>
      <c r="AC118" s="35"/>
      <c r="AD118" s="35"/>
      <c r="AE118" s="35"/>
      <c r="AF118" s="35"/>
      <c r="AG118" s="35"/>
      <c r="AH118" s="35"/>
      <c r="AI118" s="35"/>
      <c r="AJ118" s="35"/>
    </row>
    <row r="119" spans="1:36" ht="13.15" x14ac:dyDescent="0.4">
      <c r="C119" s="19"/>
      <c r="D119" s="19"/>
      <c r="E119" s="19"/>
      <c r="F119" s="19"/>
      <c r="G119" s="19"/>
      <c r="H119" s="19"/>
      <c r="I119" s="19"/>
      <c r="J119" s="19"/>
      <c r="L119" s="19"/>
      <c r="M119" s="19"/>
      <c r="N119" s="19"/>
      <c r="O119" s="19"/>
      <c r="P119" s="19"/>
      <c r="Q119" s="19"/>
      <c r="T119" s="19"/>
      <c r="U119" s="19"/>
      <c r="V119" s="19"/>
      <c r="W119" s="19"/>
      <c r="X119" s="19"/>
      <c r="Y119" s="19"/>
      <c r="AB119" s="19"/>
      <c r="AC119" s="19"/>
      <c r="AD119" s="19"/>
      <c r="AE119" s="19"/>
      <c r="AF119" s="19"/>
      <c r="AG119" s="19"/>
      <c r="AH119" s="19"/>
      <c r="AI119" s="19"/>
      <c r="AJ119" s="19"/>
    </row>
    <row r="120" spans="1:36" x14ac:dyDescent="0.35">
      <c r="B120" s="167" t="s">
        <v>69</v>
      </c>
      <c r="K120" s="167"/>
      <c r="S120" s="167"/>
      <c r="AA120" s="167"/>
    </row>
    <row r="121" spans="1:36" x14ac:dyDescent="0.35">
      <c r="B121" s="211" t="s">
        <v>256</v>
      </c>
      <c r="C121" s="225">
        <f>ROUND(C57*$G$109,3)</f>
        <v>13.417999999999999</v>
      </c>
      <c r="D121" s="226"/>
      <c r="E121" s="225">
        <f>ROUND(E57*$G$109,3)</f>
        <v>11.18</v>
      </c>
      <c r="F121" s="225">
        <f>ROUND(F57*$G$109,3)</f>
        <v>8.5429999999999993</v>
      </c>
      <c r="G121" s="225">
        <f>ROUND(G57*$G$109,3)</f>
        <v>8.5169999999999995</v>
      </c>
      <c r="H121" s="225">
        <f>ROUND(H57*$G$109,3)</f>
        <v>8.83</v>
      </c>
      <c r="I121" s="225"/>
      <c r="J121" s="213"/>
      <c r="K121" s="207"/>
      <c r="L121" s="225"/>
      <c r="M121" s="226"/>
      <c r="N121" s="225"/>
      <c r="O121" s="225"/>
      <c r="P121" s="225"/>
      <c r="Q121" s="225"/>
      <c r="S121" s="207"/>
      <c r="T121" s="225"/>
      <c r="U121" s="226"/>
      <c r="V121" s="225"/>
      <c r="W121" s="225"/>
      <c r="X121" s="225"/>
      <c r="Y121" s="225"/>
      <c r="AA121" s="207"/>
      <c r="AB121" s="227"/>
      <c r="AC121" s="226"/>
      <c r="AD121" s="227"/>
      <c r="AE121" s="227"/>
      <c r="AF121" s="227"/>
      <c r="AG121" s="227"/>
      <c r="AH121" s="227"/>
      <c r="AI121" s="227"/>
      <c r="AJ121" s="227"/>
    </row>
    <row r="122" spans="1:36" x14ac:dyDescent="0.35">
      <c r="B122" s="211" t="s">
        <v>257</v>
      </c>
      <c r="C122" s="226"/>
      <c r="D122" s="225">
        <f>ROUND(D58*$G$109,3)</f>
        <v>16.222999999999999</v>
      </c>
      <c r="E122" s="226"/>
      <c r="F122" s="226"/>
      <c r="G122" s="226"/>
      <c r="H122" s="226"/>
      <c r="I122" s="225">
        <f>ROUND(I58*$G$109,3)</f>
        <v>23.956</v>
      </c>
      <c r="J122" s="213"/>
      <c r="K122" s="207"/>
      <c r="L122" s="226"/>
      <c r="M122" s="225"/>
      <c r="N122" s="226"/>
      <c r="O122" s="226"/>
      <c r="P122" s="226"/>
      <c r="Q122" s="226"/>
      <c r="S122" s="207"/>
      <c r="T122" s="226"/>
      <c r="U122" s="225"/>
      <c r="V122" s="226"/>
      <c r="W122" s="226"/>
      <c r="X122" s="226"/>
      <c r="Y122" s="226"/>
      <c r="AA122" s="207"/>
      <c r="AB122" s="226"/>
      <c r="AC122" s="227"/>
      <c r="AD122" s="226"/>
      <c r="AE122" s="226"/>
      <c r="AF122" s="226"/>
      <c r="AG122" s="226"/>
      <c r="AH122" s="226"/>
      <c r="AI122" s="226"/>
      <c r="AJ122" s="226"/>
    </row>
    <row r="123" spans="1:36" x14ac:dyDescent="0.35">
      <c r="B123" s="211" t="s">
        <v>258</v>
      </c>
      <c r="C123" s="226"/>
      <c r="D123" s="225">
        <f>ROUND(D59*$G$109,3)</f>
        <v>7.3209999999999997</v>
      </c>
      <c r="E123" s="226"/>
      <c r="F123" s="226"/>
      <c r="G123" s="226"/>
      <c r="H123" s="226"/>
      <c r="I123" s="225">
        <f>ROUND(I59*$G$109,3)</f>
        <v>8.6969999999999992</v>
      </c>
      <c r="J123" s="213"/>
      <c r="K123" s="207"/>
      <c r="L123" s="226"/>
      <c r="M123" s="225"/>
      <c r="N123" s="226"/>
      <c r="O123" s="226"/>
      <c r="P123" s="226"/>
      <c r="Q123" s="226"/>
      <c r="S123" s="207"/>
      <c r="T123" s="226"/>
      <c r="U123" s="225"/>
      <c r="V123" s="226"/>
      <c r="W123" s="226"/>
      <c r="X123" s="226"/>
      <c r="Y123" s="226"/>
      <c r="AA123" s="207"/>
      <c r="AB123" s="226"/>
      <c r="AC123" s="227"/>
      <c r="AD123" s="226"/>
      <c r="AE123" s="226"/>
      <c r="AF123" s="226"/>
      <c r="AG123" s="226"/>
      <c r="AH123" s="226"/>
      <c r="AI123" s="226"/>
      <c r="AJ123" s="226"/>
    </row>
    <row r="124" spans="1:36" x14ac:dyDescent="0.35">
      <c r="B124" s="37" t="s">
        <v>41</v>
      </c>
      <c r="C124" s="225">
        <f>ROUND(C60*$G$109,3)</f>
        <v>7.5750000000000002</v>
      </c>
      <c r="D124" s="169"/>
      <c r="E124" s="226"/>
      <c r="F124" s="226"/>
      <c r="G124" s="226"/>
      <c r="H124" s="226"/>
      <c r="I124" s="226"/>
      <c r="J124" s="213"/>
      <c r="K124" s="1"/>
      <c r="L124" s="225"/>
      <c r="M124" s="169"/>
      <c r="N124" s="226"/>
      <c r="O124" s="226"/>
      <c r="P124" s="226"/>
      <c r="Q124" s="226"/>
      <c r="S124" s="1"/>
      <c r="T124" s="225"/>
      <c r="U124" s="169"/>
      <c r="V124" s="226"/>
      <c r="W124" s="226"/>
      <c r="X124" s="226"/>
      <c r="Y124" s="226"/>
      <c r="AA124" s="1"/>
      <c r="AB124" s="227"/>
      <c r="AC124" s="169"/>
      <c r="AD124" s="226"/>
      <c r="AE124" s="226"/>
      <c r="AF124" s="226"/>
      <c r="AG124" s="226"/>
      <c r="AH124" s="226"/>
      <c r="AI124" s="226"/>
      <c r="AJ124" s="226"/>
    </row>
    <row r="125" spans="1:36" x14ac:dyDescent="0.35">
      <c r="B125" s="39" t="s">
        <v>42</v>
      </c>
      <c r="C125" s="225">
        <f>ROUND(C61*$G$109,3)</f>
        <v>17.827999999999999</v>
      </c>
      <c r="D125" s="169"/>
      <c r="E125" s="226"/>
      <c r="F125" s="226"/>
      <c r="G125" s="226"/>
      <c r="H125" s="226"/>
      <c r="I125" s="226"/>
      <c r="J125" s="213"/>
      <c r="K125" s="78"/>
      <c r="L125" s="225"/>
      <c r="M125" s="169"/>
      <c r="N125" s="226"/>
      <c r="O125" s="226"/>
      <c r="P125" s="226"/>
      <c r="Q125" s="226"/>
      <c r="S125" s="78"/>
      <c r="T125" s="225"/>
      <c r="U125" s="169"/>
      <c r="V125" s="226"/>
      <c r="W125" s="226"/>
      <c r="X125" s="226"/>
      <c r="Y125" s="226"/>
      <c r="AA125" s="78"/>
      <c r="AB125" s="227"/>
      <c r="AC125" s="169"/>
      <c r="AD125" s="226"/>
      <c r="AE125" s="226"/>
      <c r="AF125" s="226"/>
      <c r="AG125" s="226"/>
      <c r="AH125" s="226"/>
      <c r="AI125" s="226"/>
      <c r="AJ125" s="226"/>
    </row>
    <row r="126" spans="1:36" x14ac:dyDescent="0.35">
      <c r="B126" s="226"/>
      <c r="C126" s="226"/>
      <c r="D126" s="169"/>
      <c r="E126" s="226"/>
      <c r="F126" s="226"/>
      <c r="G126" s="226"/>
      <c r="H126" s="226"/>
      <c r="I126" s="226"/>
      <c r="J126" s="213"/>
      <c r="K126" s="78"/>
      <c r="L126" s="228"/>
      <c r="M126" s="169"/>
      <c r="N126" s="226"/>
      <c r="O126" s="226"/>
      <c r="P126" s="226"/>
      <c r="Q126" s="226"/>
      <c r="S126" s="78"/>
      <c r="T126" s="228"/>
      <c r="U126" s="169"/>
      <c r="V126" s="226"/>
      <c r="W126" s="226"/>
      <c r="X126" s="226"/>
      <c r="Y126" s="226"/>
      <c r="AA126" s="78"/>
      <c r="AB126" s="228"/>
      <c r="AC126" s="169"/>
      <c r="AD126" s="226"/>
      <c r="AE126" s="226"/>
      <c r="AF126" s="226"/>
      <c r="AG126" s="226"/>
      <c r="AH126" s="226"/>
      <c r="AI126" s="226"/>
      <c r="AJ126" s="226"/>
    </row>
    <row r="127" spans="1:36" x14ac:dyDescent="0.35">
      <c r="C127" s="226"/>
      <c r="D127" s="226"/>
      <c r="E127" s="226"/>
      <c r="F127" s="226"/>
      <c r="G127" s="226"/>
      <c r="H127" s="226"/>
      <c r="I127" s="226"/>
      <c r="L127" s="226"/>
      <c r="M127" s="226"/>
      <c r="N127" s="226"/>
      <c r="O127" s="226"/>
      <c r="P127" s="226"/>
      <c r="Q127" s="226"/>
      <c r="T127" s="226"/>
      <c r="U127" s="226"/>
      <c r="V127" s="226"/>
      <c r="W127" s="226"/>
      <c r="X127" s="226"/>
      <c r="Y127" s="226"/>
      <c r="AA127" s="205"/>
      <c r="AB127" s="226"/>
      <c r="AC127" s="226"/>
      <c r="AD127" s="226"/>
      <c r="AE127" s="226"/>
      <c r="AF127" s="226"/>
      <c r="AG127" s="226"/>
      <c r="AH127" s="226"/>
      <c r="AI127" s="226"/>
      <c r="AJ127" s="226"/>
    </row>
    <row r="128" spans="1:36" x14ac:dyDescent="0.35">
      <c r="B128" s="214" t="s">
        <v>259</v>
      </c>
      <c r="C128" s="226"/>
      <c r="D128" s="226"/>
      <c r="E128" s="226"/>
      <c r="F128" s="226"/>
      <c r="G128" s="226"/>
      <c r="H128" s="229">
        <f>ROUND(H64*$G$109,2)</f>
        <v>7.63</v>
      </c>
      <c r="I128" s="225"/>
      <c r="J128" s="215"/>
      <c r="K128" s="205"/>
      <c r="L128" s="226"/>
      <c r="M128" s="226"/>
      <c r="N128" s="226"/>
      <c r="O128" s="226"/>
      <c r="P128" s="226"/>
      <c r="Q128" s="225"/>
      <c r="S128" s="205"/>
      <c r="T128" s="226"/>
      <c r="U128" s="226"/>
      <c r="V128" s="226"/>
      <c r="W128" s="226"/>
      <c r="X128" s="226"/>
      <c r="Y128" s="225"/>
      <c r="AA128" s="205"/>
      <c r="AB128" s="226"/>
      <c r="AC128" s="226"/>
      <c r="AD128" s="226"/>
      <c r="AE128" s="226"/>
      <c r="AF128" s="226"/>
      <c r="AG128" s="227"/>
      <c r="AH128" s="227"/>
      <c r="AI128" s="227"/>
      <c r="AJ128" s="227"/>
    </row>
    <row r="129" spans="2:36" x14ac:dyDescent="0.35">
      <c r="B129" s="214"/>
      <c r="C129" s="226"/>
      <c r="D129" s="226"/>
      <c r="E129" s="226"/>
      <c r="F129" s="226"/>
      <c r="G129" s="226"/>
      <c r="H129" s="225"/>
      <c r="I129" s="225"/>
      <c r="J129" s="215"/>
      <c r="L129" s="226"/>
      <c r="M129" s="226"/>
      <c r="N129" s="226"/>
      <c r="O129" s="226"/>
      <c r="P129" s="226"/>
      <c r="Q129" s="226"/>
      <c r="T129" s="226"/>
      <c r="U129" s="226"/>
      <c r="V129" s="226"/>
      <c r="W129" s="226"/>
      <c r="X129" s="226"/>
      <c r="Y129" s="226"/>
      <c r="AA129" s="205"/>
      <c r="AB129" s="226"/>
      <c r="AC129" s="226"/>
      <c r="AD129" s="226"/>
      <c r="AE129" s="226"/>
      <c r="AF129" s="226"/>
      <c r="AG129" s="226"/>
      <c r="AH129" s="226"/>
      <c r="AI129" s="226"/>
      <c r="AJ129" s="226"/>
    </row>
    <row r="130" spans="2:36" x14ac:dyDescent="0.35">
      <c r="C130" s="226"/>
      <c r="D130" s="226"/>
      <c r="E130" s="226"/>
      <c r="F130" s="226"/>
      <c r="G130" s="226"/>
      <c r="H130" s="226"/>
      <c r="I130" s="226"/>
      <c r="K130" s="167"/>
      <c r="L130" s="226"/>
      <c r="M130" s="226"/>
      <c r="N130" s="226"/>
      <c r="O130" s="226"/>
      <c r="P130" s="226"/>
      <c r="Q130" s="226"/>
      <c r="S130" s="167"/>
      <c r="T130" s="226"/>
      <c r="U130" s="226"/>
      <c r="V130" s="226"/>
      <c r="W130" s="226"/>
      <c r="X130" s="226"/>
      <c r="Y130" s="226"/>
      <c r="AA130" s="89"/>
      <c r="AB130" s="226"/>
      <c r="AC130" s="226"/>
      <c r="AD130" s="226"/>
      <c r="AE130" s="226"/>
      <c r="AF130" s="226"/>
      <c r="AG130" s="226"/>
      <c r="AH130" s="226"/>
      <c r="AI130" s="226"/>
      <c r="AJ130" s="226"/>
    </row>
    <row r="131" spans="2:36" x14ac:dyDescent="0.35">
      <c r="B131" s="167" t="s">
        <v>62</v>
      </c>
      <c r="C131" s="226"/>
      <c r="D131" s="226"/>
      <c r="E131" s="226"/>
      <c r="F131" s="226"/>
      <c r="G131" s="226"/>
      <c r="H131" s="226"/>
      <c r="I131" s="226"/>
      <c r="K131" s="207"/>
      <c r="L131" s="225"/>
      <c r="M131" s="226"/>
      <c r="N131" s="225"/>
      <c r="O131" s="225"/>
      <c r="P131" s="225"/>
      <c r="Q131" s="225"/>
      <c r="S131" s="207"/>
      <c r="T131" s="225"/>
      <c r="U131" s="226"/>
      <c r="V131" s="225"/>
      <c r="W131" s="225"/>
      <c r="X131" s="225"/>
      <c r="Y131" s="225"/>
      <c r="AA131" s="207"/>
      <c r="AB131" s="227"/>
      <c r="AC131" s="226"/>
      <c r="AD131" s="227"/>
      <c r="AE131" s="227"/>
      <c r="AF131" s="227"/>
      <c r="AG131" s="227"/>
      <c r="AH131" s="227"/>
      <c r="AI131" s="227"/>
      <c r="AJ131" s="227"/>
    </row>
    <row r="132" spans="2:36" x14ac:dyDescent="0.35">
      <c r="B132" s="211" t="s">
        <v>256</v>
      </c>
      <c r="C132" s="225">
        <f>ROUND(C68*$G$110,3)</f>
        <v>13.803000000000001</v>
      </c>
      <c r="D132" s="226"/>
      <c r="E132" s="225">
        <f>ROUND(E68*$G$110,3)</f>
        <v>10.587</v>
      </c>
      <c r="F132" s="225">
        <f>ROUND(F68*$G$110,3)</f>
        <v>8.4870000000000001</v>
      </c>
      <c r="G132" s="225">
        <f>ROUND(G68*$G$110,3)</f>
        <v>8.3859999999999992</v>
      </c>
      <c r="H132" s="225">
        <f>ROUND(H68*$G$110,3)</f>
        <v>8.5649999999999995</v>
      </c>
      <c r="I132" s="225"/>
      <c r="K132" s="207"/>
      <c r="L132" s="226"/>
      <c r="M132" s="225"/>
      <c r="N132" s="226"/>
      <c r="O132" s="226"/>
      <c r="P132" s="226"/>
      <c r="Q132" s="226"/>
      <c r="S132" s="207"/>
      <c r="T132" s="226"/>
      <c r="U132" s="225"/>
      <c r="V132" s="226"/>
      <c r="W132" s="226"/>
      <c r="X132" s="226"/>
      <c r="Y132" s="226"/>
      <c r="AA132" s="207"/>
      <c r="AB132" s="226"/>
      <c r="AC132" s="227"/>
      <c r="AD132" s="226"/>
      <c r="AE132" s="226"/>
      <c r="AF132" s="226"/>
      <c r="AG132" s="226"/>
      <c r="AH132" s="226"/>
      <c r="AI132" s="226"/>
      <c r="AJ132" s="226"/>
    </row>
    <row r="133" spans="2:36" x14ac:dyDescent="0.35">
      <c r="B133" s="211" t="s">
        <v>257</v>
      </c>
      <c r="C133" s="226"/>
      <c r="D133" s="225">
        <f>ROUND(D69*$G$110,3)</f>
        <v>15.936</v>
      </c>
      <c r="E133" s="226"/>
      <c r="F133" s="226"/>
      <c r="G133" s="226"/>
      <c r="H133" s="226"/>
      <c r="I133" s="225">
        <f>ROUND(I69*$G$110,3)</f>
        <v>30.033000000000001</v>
      </c>
      <c r="J133" s="213"/>
      <c r="K133" s="207"/>
      <c r="L133" s="226"/>
      <c r="M133" s="225"/>
      <c r="N133" s="226"/>
      <c r="O133" s="226"/>
      <c r="P133" s="226"/>
      <c r="Q133" s="226"/>
      <c r="S133" s="207"/>
      <c r="T133" s="226"/>
      <c r="U133" s="225"/>
      <c r="V133" s="226"/>
      <c r="W133" s="226"/>
      <c r="X133" s="226"/>
      <c r="Y133" s="226"/>
      <c r="AA133" s="207"/>
      <c r="AB133" s="226"/>
      <c r="AC133" s="227"/>
      <c r="AD133" s="226"/>
      <c r="AE133" s="226"/>
      <c r="AF133" s="226"/>
      <c r="AG133" s="226"/>
      <c r="AH133" s="226"/>
      <c r="AI133" s="226"/>
      <c r="AJ133" s="226"/>
    </row>
    <row r="134" spans="2:36" x14ac:dyDescent="0.35">
      <c r="B134" s="211" t="s">
        <v>258</v>
      </c>
      <c r="C134" s="226"/>
      <c r="D134" s="225">
        <f>ROUND(D70*$G$110,3)</f>
        <v>8.0470000000000006</v>
      </c>
      <c r="E134" s="226"/>
      <c r="F134" s="226"/>
      <c r="G134" s="226"/>
      <c r="H134" s="226"/>
      <c r="I134" s="225">
        <f>ROUND(I70*$G$110,3)</f>
        <v>8.5890000000000004</v>
      </c>
      <c r="J134" s="213"/>
      <c r="K134" s="205"/>
      <c r="L134" s="226"/>
      <c r="M134" s="226"/>
      <c r="N134" s="226"/>
      <c r="O134" s="226"/>
      <c r="P134" s="226"/>
      <c r="Q134" s="226"/>
      <c r="S134" s="205"/>
      <c r="T134" s="226"/>
      <c r="U134" s="226"/>
      <c r="V134" s="226"/>
      <c r="W134" s="226"/>
      <c r="X134" s="226"/>
      <c r="Y134" s="226"/>
      <c r="AA134" s="205"/>
      <c r="AB134" s="226"/>
      <c r="AC134" s="226"/>
      <c r="AD134" s="226"/>
      <c r="AE134" s="226"/>
      <c r="AF134" s="226"/>
      <c r="AG134" s="226"/>
      <c r="AH134" s="226"/>
      <c r="AI134" s="226"/>
      <c r="AJ134" s="226"/>
    </row>
    <row r="135" spans="2:36" x14ac:dyDescent="0.35">
      <c r="C135" s="226"/>
      <c r="D135" s="226"/>
      <c r="E135" s="226"/>
      <c r="F135" s="226"/>
      <c r="G135" s="226"/>
      <c r="H135" s="226"/>
      <c r="I135" s="226"/>
      <c r="K135" s="205"/>
      <c r="L135" s="226"/>
      <c r="M135" s="226"/>
      <c r="N135" s="226"/>
      <c r="O135" s="226"/>
      <c r="P135" s="226"/>
      <c r="Q135" s="225"/>
      <c r="S135" s="205"/>
      <c r="T135" s="226"/>
      <c r="U135" s="226"/>
      <c r="V135" s="226"/>
      <c r="W135" s="226"/>
      <c r="X135" s="226"/>
      <c r="Y135" s="225"/>
      <c r="AA135" s="205"/>
      <c r="AB135" s="226"/>
      <c r="AC135" s="226"/>
      <c r="AD135" s="226"/>
      <c r="AE135" s="226"/>
      <c r="AF135" s="226"/>
      <c r="AG135" s="227"/>
      <c r="AH135" s="227"/>
      <c r="AI135" s="227"/>
      <c r="AJ135" s="227"/>
    </row>
    <row r="136" spans="2:36" x14ac:dyDescent="0.35">
      <c r="B136" s="214" t="s">
        <v>259</v>
      </c>
      <c r="C136" s="226"/>
      <c r="D136" s="226"/>
      <c r="E136" s="226"/>
      <c r="F136" s="226"/>
      <c r="G136" s="226"/>
      <c r="H136" s="229">
        <f>ROUND(H72*$G$110,2)</f>
        <v>7.74</v>
      </c>
      <c r="I136" s="225"/>
      <c r="J136" s="215"/>
    </row>
    <row r="137" spans="2:36" x14ac:dyDescent="0.35">
      <c r="B137" s="214"/>
      <c r="C137" s="226"/>
      <c r="D137" s="226"/>
      <c r="E137" s="169"/>
      <c r="F137" s="226"/>
      <c r="G137" s="226"/>
      <c r="H137" s="225"/>
      <c r="I137" s="225"/>
      <c r="J137" s="215"/>
    </row>
    <row r="138" spans="2:36" x14ac:dyDescent="0.35">
      <c r="B138" s="214"/>
      <c r="E138" s="3"/>
      <c r="I138" s="212"/>
      <c r="J138" s="215"/>
    </row>
    <row r="139" spans="2:36" ht="13.15" x14ac:dyDescent="0.4">
      <c r="B139" s="57" t="s">
        <v>363</v>
      </c>
      <c r="D139" t="s">
        <v>261</v>
      </c>
      <c r="E139" s="168">
        <v>6.6250000000000003E-2</v>
      </c>
      <c r="J139" s="215"/>
    </row>
    <row r="140" spans="2:36" x14ac:dyDescent="0.35">
      <c r="E140" s="3"/>
      <c r="J140" s="215"/>
    </row>
    <row r="141" spans="2:36" ht="13.15" x14ac:dyDescent="0.4">
      <c r="C141" s="35" t="s">
        <v>7</v>
      </c>
      <c r="D141" s="35" t="s">
        <v>8</v>
      </c>
      <c r="E141" s="35" t="s">
        <v>9</v>
      </c>
      <c r="F141" s="35" t="s">
        <v>10</v>
      </c>
      <c r="G141" s="35" t="s">
        <v>11</v>
      </c>
      <c r="H141" s="35" t="s">
        <v>12</v>
      </c>
      <c r="I141" s="35" t="str">
        <f>'BGS Cost &amp; Bid Factors'!I$24</f>
        <v>SC1 TOD</v>
      </c>
    </row>
    <row r="142" spans="2:36" x14ac:dyDescent="0.35">
      <c r="B142" s="167" t="s">
        <v>69</v>
      </c>
      <c r="E142" s="3"/>
      <c r="I142" s="215"/>
    </row>
    <row r="143" spans="2:36" x14ac:dyDescent="0.35">
      <c r="B143" s="211" t="s">
        <v>256</v>
      </c>
      <c r="C143" s="211"/>
      <c r="E143" s="212">
        <f>ROUND(E121*(1+$E$139),3)</f>
        <v>11.920999999999999</v>
      </c>
      <c r="F143" s="212">
        <f>ROUND(F121*(1+$E$139),3)</f>
        <v>9.109</v>
      </c>
      <c r="G143" s="212">
        <f>ROUND(G121*(1+$E$139),3)</f>
        <v>9.0809999999999995</v>
      </c>
      <c r="H143" s="212">
        <f>ROUND(H121*(1+$E$139),3)</f>
        <v>9.4149999999999991</v>
      </c>
      <c r="I143" s="215"/>
    </row>
    <row r="144" spans="2:36" x14ac:dyDescent="0.35">
      <c r="B144" s="211" t="s">
        <v>257</v>
      </c>
      <c r="D144" s="212">
        <f>ROUND(D122*(1+$E$139),3)</f>
        <v>17.297999999999998</v>
      </c>
      <c r="I144" s="212">
        <f>ROUND(I122*(1+$E$139),3)</f>
        <v>25.542999999999999</v>
      </c>
    </row>
    <row r="145" spans="2:10" x14ac:dyDescent="0.35">
      <c r="B145" s="211" t="s">
        <v>258</v>
      </c>
      <c r="D145" s="212">
        <f>ROUND(D123*(1+$E$139),3)</f>
        <v>7.806</v>
      </c>
      <c r="I145" s="212">
        <f>ROUND(I123*(1+$E$139),3)</f>
        <v>9.2729999999999997</v>
      </c>
    </row>
    <row r="146" spans="2:10" x14ac:dyDescent="0.35">
      <c r="B146" s="37" t="s">
        <v>41</v>
      </c>
      <c r="C146" s="212">
        <f>ROUND(C124*(1+$E$139),3)</f>
        <v>8.077</v>
      </c>
      <c r="D146" s="81"/>
      <c r="I146" s="215"/>
    </row>
    <row r="147" spans="2:10" x14ac:dyDescent="0.35">
      <c r="B147" s="39" t="s">
        <v>42</v>
      </c>
      <c r="C147" s="212">
        <f>ROUND(C125*(1+$E$139),3)</f>
        <v>19.009</v>
      </c>
      <c r="D147" s="81"/>
      <c r="I147" s="215"/>
    </row>
    <row r="148" spans="2:10" x14ac:dyDescent="0.35">
      <c r="B148" s="81"/>
      <c r="C148" s="81"/>
      <c r="D148" s="81"/>
      <c r="I148" s="215"/>
    </row>
    <row r="149" spans="2:10" x14ac:dyDescent="0.35">
      <c r="I149" s="215"/>
    </row>
    <row r="150" spans="2:10" x14ac:dyDescent="0.35">
      <c r="B150" s="214" t="s">
        <v>259</v>
      </c>
      <c r="H150" s="230">
        <f>ROUND(H128*(1+$E$139),2)</f>
        <v>8.14</v>
      </c>
      <c r="I150" s="215"/>
    </row>
    <row r="151" spans="2:10" x14ac:dyDescent="0.35">
      <c r="B151" s="214"/>
      <c r="H151" s="230"/>
      <c r="I151" s="215"/>
      <c r="J151" s="209"/>
    </row>
    <row r="152" spans="2:10" x14ac:dyDescent="0.35">
      <c r="I152" s="215"/>
    </row>
    <row r="153" spans="2:10" x14ac:dyDescent="0.35">
      <c r="B153" s="167" t="s">
        <v>62</v>
      </c>
      <c r="I153" s="215"/>
    </row>
    <row r="154" spans="2:10" x14ac:dyDescent="0.35">
      <c r="B154" s="211" t="s">
        <v>256</v>
      </c>
      <c r="C154" s="212">
        <f>ROUND(C132*(1+$E$139),3)</f>
        <v>14.717000000000001</v>
      </c>
      <c r="E154" s="212">
        <f>ROUND(E132*(1+$E$139),3)</f>
        <v>11.288</v>
      </c>
      <c r="F154" s="212">
        <f>ROUND(F132*(1+$E$139),3)</f>
        <v>9.0489999999999995</v>
      </c>
      <c r="G154" s="212">
        <f>ROUND(G132*(1+$E$139),3)</f>
        <v>8.9420000000000002</v>
      </c>
      <c r="H154" s="212">
        <f>ROUND(H132*(1+$E$139),3)</f>
        <v>9.1319999999999997</v>
      </c>
      <c r="I154" s="215"/>
    </row>
    <row r="155" spans="2:10" x14ac:dyDescent="0.35">
      <c r="B155" s="211" t="s">
        <v>257</v>
      </c>
      <c r="D155" s="212">
        <f>ROUND(D133*(1+$E$139),3)</f>
        <v>16.992000000000001</v>
      </c>
      <c r="I155" s="212">
        <f>ROUND(I133*(1+$E$139),3)</f>
        <v>32.023000000000003</v>
      </c>
    </row>
    <row r="156" spans="2:10" x14ac:dyDescent="0.35">
      <c r="B156" s="211" t="s">
        <v>258</v>
      </c>
      <c r="D156" s="212">
        <f>ROUND(D134*(1+$E$139),3)</f>
        <v>8.58</v>
      </c>
      <c r="I156" s="212">
        <f>ROUND(I134*(1+$E$139),3)</f>
        <v>9.1579999999999995</v>
      </c>
    </row>
    <row r="157" spans="2:10" x14ac:dyDescent="0.35">
      <c r="I157" s="215"/>
    </row>
    <row r="158" spans="2:10" x14ac:dyDescent="0.35">
      <c r="B158" s="214" t="s">
        <v>259</v>
      </c>
      <c r="H158" s="230">
        <f>ROUND(H136*(1+$E$139),2)</f>
        <v>8.25</v>
      </c>
      <c r="I158" s="215"/>
    </row>
    <row r="159" spans="2:10" x14ac:dyDescent="0.35">
      <c r="B159" s="214"/>
      <c r="H159" s="230"/>
      <c r="I159" s="215"/>
    </row>
    <row r="160" spans="2:10" x14ac:dyDescent="0.35">
      <c r="B160" s="214"/>
      <c r="H160" s="212"/>
      <c r="I160" s="215"/>
    </row>
    <row r="161" spans="1:12" x14ac:dyDescent="0.35">
      <c r="B161" s="214"/>
      <c r="H161" s="215"/>
      <c r="I161" s="215"/>
    </row>
    <row r="162" spans="1:12" ht="13.15" x14ac:dyDescent="0.4">
      <c r="A162" s="144" t="s">
        <v>364</v>
      </c>
      <c r="B162" s="144" t="s">
        <v>365</v>
      </c>
      <c r="H162" s="215"/>
      <c r="I162" s="215"/>
    </row>
    <row r="163" spans="1:12" ht="13.15" x14ac:dyDescent="0.4">
      <c r="B163" s="144"/>
      <c r="H163" s="215"/>
      <c r="I163" s="215"/>
    </row>
    <row r="164" spans="1:12" ht="13.15" x14ac:dyDescent="0.4">
      <c r="B164" s="144"/>
      <c r="H164" s="215"/>
      <c r="I164" s="215"/>
    </row>
    <row r="165" spans="1:12" x14ac:dyDescent="0.35">
      <c r="B165" s="85" t="s">
        <v>277</v>
      </c>
      <c r="H165" s="215"/>
      <c r="I165" s="215"/>
    </row>
    <row r="166" spans="1:12" ht="13.15" thickBot="1" x14ac:dyDescent="0.4">
      <c r="B166" s="85"/>
      <c r="H166" s="215"/>
      <c r="I166" s="215"/>
    </row>
    <row r="167" spans="1:12" ht="13.15" x14ac:dyDescent="0.4">
      <c r="C167" s="35" t="str">
        <f>'BGS Cost &amp; Bid Factors'!C$6</f>
        <v>SC1</v>
      </c>
      <c r="D167" s="35" t="str">
        <f>'BGS Cost &amp; Bid Factors'!D$6</f>
        <v>SC3</v>
      </c>
      <c r="E167" s="35" t="str">
        <f>'BGS Cost &amp; Bid Factors'!E$6</f>
        <v>SC2 ND</v>
      </c>
      <c r="F167" s="35" t="str">
        <f>'BGS Cost &amp; Bid Factors'!F$6</f>
        <v>SC4</v>
      </c>
      <c r="G167" s="35" t="str">
        <f>'BGS Cost &amp; Bid Factors'!G$6</f>
        <v>SC6</v>
      </c>
      <c r="H167" s="35" t="str">
        <f>'BGS Cost &amp; Bid Factors'!H$6</f>
        <v>SC2 Dem</v>
      </c>
      <c r="I167" s="35"/>
      <c r="J167" s="215"/>
      <c r="K167" s="231" t="s">
        <v>145</v>
      </c>
      <c r="L167" s="232"/>
    </row>
    <row r="168" spans="1:12" x14ac:dyDescent="0.35">
      <c r="B168" s="85"/>
      <c r="J168" s="215"/>
      <c r="K168" s="233"/>
      <c r="L168" s="234"/>
    </row>
    <row r="169" spans="1:12" x14ac:dyDescent="0.35">
      <c r="B169" s="216" t="s">
        <v>69</v>
      </c>
      <c r="C169" s="217">
        <f>ROUND((C121*'BGS Cost &amp; Bid Factors'!L$48)/100,0)</f>
        <v>44229</v>
      </c>
      <c r="D169" s="218">
        <f>ROUND((D122*'BGS Cost &amp; Bid Factors'!M$49+D123*'BGS Cost &amp; Bid Factors'!M$50)/100,0)</f>
        <v>13</v>
      </c>
      <c r="E169" s="217">
        <f>ROUND((E121*'BGS Cost &amp; Bid Factors'!N$48)/100,0)</f>
        <v>390</v>
      </c>
      <c r="F169" s="217">
        <f>ROUND((F121*'BGS Cost &amp; Bid Factors'!O$48)/100,0)</f>
        <v>145</v>
      </c>
      <c r="G169" s="217">
        <f>ROUND((G121*'BGS Cost &amp; Bid Factors'!P$48)/100,0)</f>
        <v>124</v>
      </c>
      <c r="H169" s="218">
        <f>ROUND(H121*'BGS Cost &amp; Bid Factors'!Q$48/100+(H128*($L$169/4*'BGS Cost &amp; Bid Factors'!H$144)+H129*($L$169/4*'BGS Cost &amp; Bid Factors'!H$144))/1000,0)</f>
        <v>15239</v>
      </c>
      <c r="I169" s="218"/>
      <c r="J169" s="215"/>
      <c r="K169" s="233" t="s">
        <v>69</v>
      </c>
      <c r="L169" s="235">
        <f>'Backup Calcs'!$G$95</f>
        <v>455476.64</v>
      </c>
    </row>
    <row r="170" spans="1:12" ht="13.15" thickBot="1" x14ac:dyDescent="0.4">
      <c r="B170" s="216" t="s">
        <v>62</v>
      </c>
      <c r="C170" s="174">
        <f>ROUND(C132*'BGS Cost &amp; Bid Factors'!L$44/100,0)</f>
        <v>57736</v>
      </c>
      <c r="D170" s="175">
        <f>ROUND((D133*'BGS Cost &amp; Bid Factors'!M$45+D134*'BGS Cost &amp; Bid Factors'!M$46)/100,0)</f>
        <v>21</v>
      </c>
      <c r="E170" s="174">
        <f>ROUND(E132*'BGS Cost &amp; Bid Factors'!N$44/100,0)</f>
        <v>903</v>
      </c>
      <c r="F170" s="174">
        <f>ROUND(F132*'BGS Cost &amp; Bid Factors'!O$44/100,0)</f>
        <v>370</v>
      </c>
      <c r="G170" s="174">
        <f>ROUND(G132*'BGS Cost &amp; Bid Factors'!P$44/100,0)</f>
        <v>289</v>
      </c>
      <c r="H170" s="175">
        <f>ROUND(H132*'BGS Cost &amp; Bid Factors'!Q$44/100+(H136*($L$170/8*'BGS Cost &amp; Bid Factors'!H$145)+H137*($L$170/8*'BGS Cost &amp; Bid Factors'!H$145))/1000,0)</f>
        <v>25097</v>
      </c>
      <c r="I170" s="175"/>
      <c r="J170" s="215"/>
      <c r="K170" s="236" t="s">
        <v>62</v>
      </c>
      <c r="L170" s="237">
        <f>'Backup Calcs'!$G$96</f>
        <v>759306.39</v>
      </c>
    </row>
    <row r="171" spans="1:12" x14ac:dyDescent="0.35">
      <c r="B171" s="216" t="s">
        <v>36</v>
      </c>
      <c r="C171" s="219">
        <f t="shared" ref="C171:H171" si="1">+C170+C169</f>
        <v>101965</v>
      </c>
      <c r="D171" s="219">
        <f t="shared" si="1"/>
        <v>34</v>
      </c>
      <c r="E171" s="219">
        <f t="shared" si="1"/>
        <v>1293</v>
      </c>
      <c r="F171" s="219">
        <f t="shared" si="1"/>
        <v>515</v>
      </c>
      <c r="G171" s="219">
        <f t="shared" si="1"/>
        <v>413</v>
      </c>
      <c r="H171" s="219">
        <f t="shared" si="1"/>
        <v>40336</v>
      </c>
      <c r="I171" s="215"/>
    </row>
    <row r="172" spans="1:12" x14ac:dyDescent="0.35">
      <c r="B172" s="216"/>
      <c r="C172" s="219"/>
      <c r="D172" s="219"/>
      <c r="E172" s="219"/>
      <c r="F172" s="219"/>
      <c r="G172" s="219"/>
      <c r="H172" s="219"/>
      <c r="I172" s="215"/>
    </row>
    <row r="173" spans="1:12" x14ac:dyDescent="0.35">
      <c r="B173" s="216" t="s">
        <v>36</v>
      </c>
      <c r="C173" s="219"/>
      <c r="D173" s="219"/>
      <c r="E173" s="219"/>
      <c r="F173" s="219"/>
      <c r="G173" s="219"/>
      <c r="H173" s="219"/>
      <c r="I173" s="215"/>
    </row>
    <row r="174" spans="1:12" x14ac:dyDescent="0.35">
      <c r="B174" s="216" t="s">
        <v>69</v>
      </c>
      <c r="C174" s="219">
        <f>SUM(C169:H169)</f>
        <v>60140</v>
      </c>
      <c r="D174" s="219"/>
      <c r="E174" s="219"/>
      <c r="F174" s="219"/>
      <c r="G174" s="219"/>
      <c r="H174" s="219"/>
      <c r="I174" s="215"/>
    </row>
    <row r="175" spans="1:12" x14ac:dyDescent="0.35">
      <c r="B175" s="216" t="s">
        <v>62</v>
      </c>
      <c r="C175" s="176">
        <f>SUM(C170:H170)</f>
        <v>84416</v>
      </c>
      <c r="D175" s="120"/>
      <c r="I175" s="215"/>
    </row>
    <row r="176" spans="1:12" x14ac:dyDescent="0.35">
      <c r="B176" s="216" t="s">
        <v>36</v>
      </c>
      <c r="C176" s="219">
        <f>+C175+C174</f>
        <v>144556</v>
      </c>
      <c r="D176" s="120"/>
      <c r="H176" s="218"/>
      <c r="I176" s="215"/>
    </row>
    <row r="177" spans="2:10" x14ac:dyDescent="0.35">
      <c r="B177" s="216"/>
      <c r="C177" s="219"/>
      <c r="E177" s="120"/>
      <c r="I177" s="175"/>
      <c r="J177" s="215"/>
    </row>
    <row r="178" spans="2:10" ht="13.15" x14ac:dyDescent="0.4">
      <c r="B178" s="167" t="s">
        <v>366</v>
      </c>
      <c r="C178" s="19"/>
      <c r="D178" s="19"/>
      <c r="E178" s="19"/>
      <c r="F178" s="19"/>
      <c r="G178" s="19"/>
      <c r="H178" s="19"/>
      <c r="I178" s="219"/>
      <c r="J178" s="215"/>
    </row>
    <row r="179" spans="2:10" ht="13.15" x14ac:dyDescent="0.4">
      <c r="C179" s="19"/>
      <c r="D179" s="19"/>
      <c r="E179" s="19"/>
      <c r="F179" s="19"/>
    </row>
    <row r="180" spans="2:10" ht="13.15" x14ac:dyDescent="0.4">
      <c r="B180" t="s">
        <v>350</v>
      </c>
      <c r="C180" s="120"/>
      <c r="D180" s="120"/>
      <c r="E180" s="120"/>
      <c r="F180" s="19"/>
    </row>
    <row r="181" spans="2:10" ht="15" x14ac:dyDescent="0.65">
      <c r="C181" s="220" t="s">
        <v>36</v>
      </c>
      <c r="D181" s="220" t="s">
        <v>331</v>
      </c>
      <c r="E181" s="220" t="s">
        <v>351</v>
      </c>
      <c r="F181" s="19"/>
      <c r="G181" s="238"/>
    </row>
    <row r="182" spans="2:10" ht="13.15" x14ac:dyDescent="0.4">
      <c r="B182" s="216" t="s">
        <v>69</v>
      </c>
      <c r="C182" s="219">
        <f>'Weighted Avg Price Calc'!G$29/1000</f>
        <v>53882.968000000001</v>
      </c>
      <c r="D182" s="222">
        <v>0</v>
      </c>
      <c r="E182" s="219">
        <f>C182-D182</f>
        <v>53882.968000000001</v>
      </c>
      <c r="F182" s="19"/>
      <c r="G182" s="238">
        <f>ROUND('BGS Cost &amp; Bid Factors'!$C$147*SUM('BGS Cost &amp; Bid Factors'!$C$141:$H$141)/12*'BGS Cost &amp; Bid Factors'!H$144/1000*'BGS Cost &amp; Bid Factors'!D447,0)</f>
        <v>6255</v>
      </c>
    </row>
    <row r="183" spans="2:10" ht="15" x14ac:dyDescent="0.65">
      <c r="B183" s="216" t="s">
        <v>62</v>
      </c>
      <c r="C183" s="223">
        <f>'Weighted Avg Price Calc'!G$30/1000</f>
        <v>75636.813999999998</v>
      </c>
      <c r="D183" s="223">
        <v>0</v>
      </c>
      <c r="E183" s="223">
        <f>C183-D183</f>
        <v>75636.813999999998</v>
      </c>
      <c r="F183" s="19"/>
      <c r="G183" s="238">
        <f>ROUND('BGS Cost &amp; Bid Factors'!$C$147*SUM('BGS Cost &amp; Bid Factors'!$C$141:$H$141)/12*'BGS Cost &amp; Bid Factors'!H$145/1000*'BGS Cost &amp; Bid Factors'!D447,0)</f>
        <v>12509</v>
      </c>
    </row>
    <row r="184" spans="2:10" ht="13.15" x14ac:dyDescent="0.4">
      <c r="B184" s="216" t="s">
        <v>36</v>
      </c>
      <c r="C184" s="63">
        <f>+C183+C182</f>
        <v>129519.78200000001</v>
      </c>
      <c r="D184" s="219">
        <f>D182+D183</f>
        <v>0</v>
      </c>
      <c r="E184" s="219">
        <f>E182+E183</f>
        <v>129519.78200000001</v>
      </c>
      <c r="F184" s="19"/>
      <c r="G184" s="238"/>
    </row>
    <row r="185" spans="2:10" ht="13.15" x14ac:dyDescent="0.4">
      <c r="C185" s="120"/>
      <c r="D185" s="120"/>
      <c r="E185" s="120"/>
      <c r="F185" s="19"/>
      <c r="G185" s="238"/>
    </row>
    <row r="186" spans="2:10" ht="13.15" x14ac:dyDescent="0.4">
      <c r="B186" t="s">
        <v>352</v>
      </c>
      <c r="C186" s="120"/>
      <c r="D186" s="120"/>
      <c r="E186" s="120"/>
      <c r="F186" s="19"/>
    </row>
    <row r="187" spans="2:10" ht="15" x14ac:dyDescent="0.65">
      <c r="C187" s="220" t="s">
        <v>36</v>
      </c>
      <c r="D187" s="220" t="s">
        <v>331</v>
      </c>
      <c r="E187" s="220" t="s">
        <v>351</v>
      </c>
      <c r="F187" s="19"/>
    </row>
    <row r="188" spans="2:10" ht="13.15" x14ac:dyDescent="0.4">
      <c r="B188" s="216" t="s">
        <v>69</v>
      </c>
      <c r="C188" s="219">
        <f>ROUND($E$251*1000*'Weighted Avg Price Calc'!E42/100/1000,0)</f>
        <v>6256</v>
      </c>
      <c r="D188" s="219">
        <v>0</v>
      </c>
      <c r="E188" s="219">
        <f>C188-D188</f>
        <v>6256</v>
      </c>
      <c r="F188" s="19"/>
    </row>
    <row r="189" spans="2:10" ht="15" x14ac:dyDescent="0.65">
      <c r="B189" s="216" t="s">
        <v>62</v>
      </c>
      <c r="C189" s="223">
        <f>ROUND($E$252*1000*'Weighted Avg Price Calc'!E42/100/1000,0)</f>
        <v>8781</v>
      </c>
      <c r="D189" s="223">
        <v>0</v>
      </c>
      <c r="E189" s="223">
        <f>C189-D189</f>
        <v>8781</v>
      </c>
      <c r="F189" s="19"/>
    </row>
    <row r="190" spans="2:10" ht="13.15" x14ac:dyDescent="0.4">
      <c r="B190" s="216" t="s">
        <v>36</v>
      </c>
      <c r="C190" s="63">
        <f>+C189+C188</f>
        <v>15037</v>
      </c>
      <c r="D190" s="219">
        <f>D188+D189</f>
        <v>0</v>
      </c>
      <c r="E190" s="219">
        <f>E188+E189</f>
        <v>15037</v>
      </c>
      <c r="F190" s="19"/>
    </row>
    <row r="191" spans="2:10" ht="13.15" x14ac:dyDescent="0.4">
      <c r="C191" s="120"/>
      <c r="D191" s="120"/>
      <c r="E191" s="120"/>
      <c r="F191" s="19"/>
    </row>
    <row r="192" spans="2:10" ht="13.15" x14ac:dyDescent="0.4">
      <c r="B192" t="s">
        <v>353</v>
      </c>
      <c r="C192" s="19"/>
      <c r="D192" s="19"/>
      <c r="E192" s="19"/>
      <c r="F192" s="19"/>
    </row>
    <row r="193" spans="1:10" ht="15" x14ac:dyDescent="0.65">
      <c r="C193" s="220" t="s">
        <v>36</v>
      </c>
      <c r="D193" s="220" t="s">
        <v>331</v>
      </c>
      <c r="E193" s="220" t="s">
        <v>351</v>
      </c>
      <c r="F193" s="120"/>
    </row>
    <row r="194" spans="1:10" x14ac:dyDescent="0.35">
      <c r="B194" s="216" t="s">
        <v>69</v>
      </c>
      <c r="C194" s="219">
        <f>C182+C188</f>
        <v>60138.968000000001</v>
      </c>
      <c r="D194" s="219">
        <f>D182+D188</f>
        <v>0</v>
      </c>
      <c r="E194" s="219">
        <f>C194-D194</f>
        <v>60138.968000000001</v>
      </c>
    </row>
    <row r="195" spans="1:10" ht="15" x14ac:dyDescent="0.65">
      <c r="B195" s="216" t="s">
        <v>62</v>
      </c>
      <c r="C195" s="223">
        <f>C183+C189</f>
        <v>84417.813999999998</v>
      </c>
      <c r="D195" s="223">
        <f>D183+D189</f>
        <v>0</v>
      </c>
      <c r="E195" s="223">
        <f>C195-D195</f>
        <v>84417.813999999998</v>
      </c>
      <c r="J195" s="215"/>
    </row>
    <row r="196" spans="1:10" x14ac:dyDescent="0.35">
      <c r="B196" s="216" t="s">
        <v>36</v>
      </c>
      <c r="C196" s="63">
        <f>+C195+C194</f>
        <v>144556.78200000001</v>
      </c>
      <c r="D196" s="219">
        <f>D194+D195</f>
        <v>0</v>
      </c>
      <c r="E196" s="219">
        <f>E194+E195</f>
        <v>144556.78200000001</v>
      </c>
      <c r="J196" s="215"/>
    </row>
    <row r="197" spans="1:10" x14ac:dyDescent="0.35">
      <c r="C197" s="120"/>
      <c r="D197" s="178"/>
      <c r="E197" s="120"/>
      <c r="F197" s="165"/>
      <c r="J197" s="215"/>
    </row>
    <row r="198" spans="1:10" x14ac:dyDescent="0.35">
      <c r="B198" t="s">
        <v>281</v>
      </c>
      <c r="G198" s="214"/>
      <c r="J198" s="215"/>
    </row>
    <row r="199" spans="1:10" x14ac:dyDescent="0.35">
      <c r="C199" s="214" t="s">
        <v>326</v>
      </c>
      <c r="D199" s="214" t="s">
        <v>326</v>
      </c>
      <c r="E199" s="214"/>
      <c r="G199" s="214"/>
      <c r="J199" s="215"/>
    </row>
    <row r="200" spans="1:10" x14ac:dyDescent="0.35">
      <c r="B200" s="214"/>
      <c r="C200" s="149" t="s">
        <v>356</v>
      </c>
      <c r="D200" s="149" t="s">
        <v>357</v>
      </c>
      <c r="E200" s="149" t="s">
        <v>358</v>
      </c>
      <c r="G200" s="149"/>
      <c r="I200" s="215"/>
      <c r="J200" s="215"/>
    </row>
    <row r="201" spans="1:10" x14ac:dyDescent="0.35">
      <c r="B201" s="216" t="s">
        <v>69</v>
      </c>
      <c r="C201" s="219">
        <f>C174</f>
        <v>60140</v>
      </c>
      <c r="D201" s="219">
        <f>E194</f>
        <v>60138.968000000001</v>
      </c>
      <c r="E201" s="219">
        <f>D201-C201</f>
        <v>-1.0319999999992433</v>
      </c>
      <c r="I201" s="215"/>
      <c r="J201" s="215"/>
    </row>
    <row r="202" spans="1:10" x14ac:dyDescent="0.35">
      <c r="B202" s="216" t="s">
        <v>62</v>
      </c>
      <c r="C202" s="176">
        <f>C175</f>
        <v>84416</v>
      </c>
      <c r="D202" s="176">
        <f>E195</f>
        <v>84417.813999999998</v>
      </c>
      <c r="E202" s="176">
        <f>D202-C202</f>
        <v>1.8139999999984866</v>
      </c>
      <c r="I202" s="215"/>
      <c r="J202" s="215"/>
    </row>
    <row r="203" spans="1:10" x14ac:dyDescent="0.35">
      <c r="B203" s="216" t="s">
        <v>36</v>
      </c>
      <c r="C203" s="219">
        <f>+C202+C201</f>
        <v>144556</v>
      </c>
      <c r="D203" s="219">
        <f>+D202+D201</f>
        <v>144556.78200000001</v>
      </c>
      <c r="E203" s="219">
        <f>+E202+E201</f>
        <v>0.7819999999992433</v>
      </c>
      <c r="I203" s="215"/>
      <c r="J203" s="215"/>
    </row>
    <row r="204" spans="1:10" x14ac:dyDescent="0.35">
      <c r="B204" s="214"/>
      <c r="I204" s="215"/>
      <c r="J204" s="215"/>
    </row>
    <row r="205" spans="1:10" ht="13.15" x14ac:dyDescent="0.4">
      <c r="A205" s="54"/>
      <c r="B205" s="13" t="s">
        <v>263</v>
      </c>
      <c r="J205" s="215"/>
    </row>
    <row r="206" spans="1:10" ht="13.15" x14ac:dyDescent="0.4">
      <c r="A206" s="54"/>
      <c r="B206" s="13"/>
      <c r="J206" s="215"/>
    </row>
    <row r="207" spans="1:10" x14ac:dyDescent="0.35">
      <c r="A207" s="54"/>
      <c r="B207" s="85" t="s">
        <v>264</v>
      </c>
      <c r="J207" s="215"/>
    </row>
    <row r="208" spans="1:10" ht="13.15" x14ac:dyDescent="0.4">
      <c r="A208" s="54"/>
      <c r="B208" s="1"/>
      <c r="C208" s="19" t="str">
        <f t="shared" ref="C208" si="2">C55</f>
        <v>SC1</v>
      </c>
      <c r="D208" s="19" t="str">
        <f>D55</f>
        <v>SC3</v>
      </c>
      <c r="E208" s="19" t="str">
        <f>E55</f>
        <v>SC2 ND</v>
      </c>
      <c r="F208" s="19" t="str">
        <f>F55</f>
        <v>SC4</v>
      </c>
      <c r="G208" s="19" t="str">
        <f>G55</f>
        <v>SC6</v>
      </c>
      <c r="H208" s="19" t="str">
        <f>H55</f>
        <v>SC2 Dem</v>
      </c>
      <c r="I208" s="19" t="str">
        <f t="shared" ref="I208" si="3">I55</f>
        <v>SC1 TOD</v>
      </c>
      <c r="J208" s="19"/>
    </row>
    <row r="209" spans="1:9" x14ac:dyDescent="0.35">
      <c r="A209" s="54"/>
      <c r="B209" s="1" t="s">
        <v>265</v>
      </c>
      <c r="C209" s="239">
        <f>'BGS Cost &amp; Bid Factors'!C538</f>
        <v>1.6970000000000001</v>
      </c>
      <c r="D209" s="239">
        <f>'BGS Cost &amp; Bid Factors'!D538</f>
        <v>1.6970000000000001</v>
      </c>
      <c r="E209" s="239">
        <f>'BGS Cost &amp; Bid Factors'!E538</f>
        <v>1.6970000000000001</v>
      </c>
      <c r="F209" s="239">
        <f>'BGS Cost &amp; Bid Factors'!F538</f>
        <v>1.6970000000000001</v>
      </c>
      <c r="G209" s="239">
        <f>'BGS Cost &amp; Bid Factors'!G538</f>
        <v>1.6970000000000001</v>
      </c>
      <c r="H209" s="239">
        <f>'BGS Cost &amp; Bid Factors'!H538</f>
        <v>1.6970000000000001</v>
      </c>
      <c r="I209" s="215">
        <f>C209</f>
        <v>1.6970000000000001</v>
      </c>
    </row>
    <row r="210" spans="1:9" x14ac:dyDescent="0.35">
      <c r="A210" s="54"/>
      <c r="B210" s="1" t="s">
        <v>367</v>
      </c>
      <c r="H210" s="240">
        <f>'BGS Cost &amp; Bid Factors'!H539</f>
        <v>2.62</v>
      </c>
      <c r="I210" s="215"/>
    </row>
    <row r="211" spans="1:9" x14ac:dyDescent="0.35">
      <c r="H211" s="240">
        <f>'BGS Cost &amp; Bid Factors'!H540</f>
        <v>2.62</v>
      </c>
      <c r="I211" s="215"/>
    </row>
    <row r="212" spans="1:9" x14ac:dyDescent="0.35">
      <c r="I212" s="215"/>
    </row>
    <row r="213" spans="1:9" x14ac:dyDescent="0.35">
      <c r="I213" s="215"/>
    </row>
    <row r="214" spans="1:9" x14ac:dyDescent="0.35">
      <c r="B214" s="85" t="s">
        <v>268</v>
      </c>
      <c r="I214" s="215"/>
    </row>
    <row r="215" spans="1:9" x14ac:dyDescent="0.35">
      <c r="I215" s="215"/>
    </row>
    <row r="216" spans="1:9" x14ac:dyDescent="0.35">
      <c r="I216" s="215"/>
    </row>
    <row r="217" spans="1:9" x14ac:dyDescent="0.35">
      <c r="B217" s="167" t="s">
        <v>69</v>
      </c>
      <c r="I217" s="215"/>
    </row>
    <row r="218" spans="1:9" x14ac:dyDescent="0.35">
      <c r="B218" s="211" t="s">
        <v>256</v>
      </c>
      <c r="C218" s="213">
        <f t="shared" ref="C218:I225" si="4">IF(C121&gt;0,C121+C$209,"")</f>
        <v>15.114999999999998</v>
      </c>
      <c r="D218" s="213" t="str">
        <f t="shared" si="4"/>
        <v/>
      </c>
      <c r="E218" s="213">
        <f t="shared" si="4"/>
        <v>12.876999999999999</v>
      </c>
      <c r="F218" s="213">
        <f t="shared" si="4"/>
        <v>10.239999999999998</v>
      </c>
      <c r="G218" s="213">
        <f t="shared" si="4"/>
        <v>10.213999999999999</v>
      </c>
      <c r="H218" s="213">
        <f t="shared" si="4"/>
        <v>10.527000000000001</v>
      </c>
      <c r="I218" s="215"/>
    </row>
    <row r="219" spans="1:9" x14ac:dyDescent="0.35">
      <c r="B219" s="211" t="s">
        <v>257</v>
      </c>
      <c r="C219" s="213" t="str">
        <f t="shared" si="4"/>
        <v/>
      </c>
      <c r="D219" s="213">
        <f t="shared" si="4"/>
        <v>17.919999999999998</v>
      </c>
      <c r="E219" s="213" t="str">
        <f t="shared" si="4"/>
        <v/>
      </c>
      <c r="F219" s="213" t="str">
        <f t="shared" si="4"/>
        <v/>
      </c>
      <c r="G219" s="213" t="str">
        <f t="shared" si="4"/>
        <v/>
      </c>
      <c r="H219" s="213" t="str">
        <f t="shared" si="4"/>
        <v/>
      </c>
      <c r="I219" s="213">
        <f t="shared" si="4"/>
        <v>25.652999999999999</v>
      </c>
    </row>
    <row r="220" spans="1:9" x14ac:dyDescent="0.35">
      <c r="B220" s="211" t="s">
        <v>258</v>
      </c>
      <c r="C220" s="213" t="str">
        <f t="shared" si="4"/>
        <v/>
      </c>
      <c r="D220" s="213">
        <f t="shared" si="4"/>
        <v>9.0180000000000007</v>
      </c>
      <c r="E220" s="213" t="str">
        <f t="shared" si="4"/>
        <v/>
      </c>
      <c r="F220" s="213" t="str">
        <f t="shared" si="4"/>
        <v/>
      </c>
      <c r="G220" s="213" t="str">
        <f t="shared" si="4"/>
        <v/>
      </c>
      <c r="H220" s="213" t="str">
        <f t="shared" si="4"/>
        <v/>
      </c>
      <c r="I220" s="213">
        <f t="shared" si="4"/>
        <v>10.393999999999998</v>
      </c>
    </row>
    <row r="221" spans="1:9" x14ac:dyDescent="0.35">
      <c r="B221" s="214" t="s">
        <v>41</v>
      </c>
      <c r="C221" s="213">
        <f t="shared" si="4"/>
        <v>9.2720000000000002</v>
      </c>
      <c r="D221" s="213" t="str">
        <f t="shared" si="4"/>
        <v/>
      </c>
      <c r="E221" s="213" t="str">
        <f t="shared" si="4"/>
        <v/>
      </c>
      <c r="F221" s="213" t="str">
        <f t="shared" si="4"/>
        <v/>
      </c>
      <c r="G221" s="213" t="str">
        <f t="shared" si="4"/>
        <v/>
      </c>
      <c r="H221" s="213" t="str">
        <f t="shared" si="4"/>
        <v/>
      </c>
      <c r="I221" s="215"/>
    </row>
    <row r="222" spans="1:9" x14ac:dyDescent="0.35">
      <c r="B222" s="211" t="s">
        <v>42</v>
      </c>
      <c r="C222" s="213">
        <f t="shared" si="4"/>
        <v>19.524999999999999</v>
      </c>
      <c r="D222" s="213" t="str">
        <f t="shared" si="4"/>
        <v/>
      </c>
      <c r="E222" s="213" t="str">
        <f t="shared" si="4"/>
        <v/>
      </c>
      <c r="F222" s="213" t="str">
        <f t="shared" si="4"/>
        <v/>
      </c>
      <c r="G222" s="213" t="str">
        <f t="shared" si="4"/>
        <v/>
      </c>
      <c r="H222" s="213" t="str">
        <f t="shared" si="4"/>
        <v/>
      </c>
      <c r="I222" s="215"/>
    </row>
    <row r="223" spans="1:9" x14ac:dyDescent="0.35">
      <c r="B223" s="213"/>
      <c r="C223" s="213"/>
      <c r="D223" s="213" t="str">
        <f t="shared" si="4"/>
        <v/>
      </c>
      <c r="E223" s="213" t="str">
        <f t="shared" si="4"/>
        <v/>
      </c>
      <c r="F223" s="213" t="str">
        <f t="shared" si="4"/>
        <v/>
      </c>
      <c r="G223" s="213" t="str">
        <f t="shared" si="4"/>
        <v/>
      </c>
      <c r="H223" s="213" t="str">
        <f t="shared" si="4"/>
        <v/>
      </c>
      <c r="I223" s="215"/>
    </row>
    <row r="224" spans="1:9" x14ac:dyDescent="0.35">
      <c r="C224" s="213" t="str">
        <f t="shared" si="4"/>
        <v/>
      </c>
      <c r="D224" s="213" t="str">
        <f t="shared" si="4"/>
        <v/>
      </c>
      <c r="E224" s="213" t="str">
        <f t="shared" si="4"/>
        <v/>
      </c>
      <c r="F224" s="213" t="str">
        <f t="shared" si="4"/>
        <v/>
      </c>
      <c r="G224" s="213" t="str">
        <f t="shared" si="4"/>
        <v/>
      </c>
      <c r="H224" s="213" t="str">
        <f t="shared" si="4"/>
        <v/>
      </c>
      <c r="I224" s="215"/>
    </row>
    <row r="225" spans="1:22" x14ac:dyDescent="0.35">
      <c r="B225" s="214" t="s">
        <v>259</v>
      </c>
      <c r="C225" s="213" t="str">
        <f t="shared" si="4"/>
        <v/>
      </c>
      <c r="D225" s="213" t="str">
        <f>IF(D128&gt;0,D128+D$209,"")</f>
        <v/>
      </c>
      <c r="E225" s="213" t="str">
        <f>IF(E128&gt;0,E128+E$209,"")</f>
        <v/>
      </c>
      <c r="F225" s="213" t="str">
        <f>IF(F128&gt;0,F128+F$209,"")</f>
        <v/>
      </c>
      <c r="G225" s="213" t="str">
        <f>IF(G128&gt;0,G128+G$209,"")</f>
        <v/>
      </c>
      <c r="H225" s="209">
        <f>IF(H128&gt;0,H128+H$210,"")</f>
        <v>10.25</v>
      </c>
      <c r="I225" s="215"/>
    </row>
    <row r="226" spans="1:22" x14ac:dyDescent="0.35">
      <c r="B226" s="214"/>
      <c r="H226" s="213" t="str">
        <f>IF(H129&gt;0,H129+H$210,"")</f>
        <v/>
      </c>
      <c r="I226" s="215"/>
    </row>
    <row r="227" spans="1:22" x14ac:dyDescent="0.35">
      <c r="B227" s="214"/>
      <c r="I227" s="215"/>
    </row>
    <row r="228" spans="1:22" x14ac:dyDescent="0.35">
      <c r="B228" s="167" t="s">
        <v>62</v>
      </c>
      <c r="I228" s="215"/>
    </row>
    <row r="229" spans="1:22" x14ac:dyDescent="0.35">
      <c r="B229" s="211" t="s">
        <v>256</v>
      </c>
      <c r="C229" s="213">
        <f t="shared" ref="C229:I233" si="5">IF(C132&gt;0,C132+C$209,"")</f>
        <v>15.5</v>
      </c>
      <c r="D229" s="213" t="str">
        <f t="shared" si="5"/>
        <v/>
      </c>
      <c r="E229" s="213">
        <f t="shared" si="5"/>
        <v>12.283999999999999</v>
      </c>
      <c r="F229" s="213">
        <f t="shared" si="5"/>
        <v>10.184000000000001</v>
      </c>
      <c r="G229" s="213">
        <f t="shared" si="5"/>
        <v>10.082999999999998</v>
      </c>
      <c r="H229" s="213">
        <f t="shared" si="5"/>
        <v>10.262</v>
      </c>
      <c r="I229" s="215"/>
    </row>
    <row r="230" spans="1:22" x14ac:dyDescent="0.35">
      <c r="B230" s="211" t="s">
        <v>257</v>
      </c>
      <c r="C230" s="213" t="str">
        <f t="shared" si="5"/>
        <v/>
      </c>
      <c r="D230" s="213">
        <f t="shared" si="5"/>
        <v>17.632999999999999</v>
      </c>
      <c r="E230" s="213" t="str">
        <f t="shared" si="5"/>
        <v/>
      </c>
      <c r="F230" s="213" t="str">
        <f t="shared" si="5"/>
        <v/>
      </c>
      <c r="G230" s="213" t="str">
        <f t="shared" si="5"/>
        <v/>
      </c>
      <c r="H230" s="213" t="str">
        <f t="shared" si="5"/>
        <v/>
      </c>
      <c r="I230" s="213">
        <f t="shared" si="5"/>
        <v>31.73</v>
      </c>
    </row>
    <row r="231" spans="1:22" x14ac:dyDescent="0.35">
      <c r="B231" s="211" t="s">
        <v>258</v>
      </c>
      <c r="C231" s="213" t="str">
        <f t="shared" si="5"/>
        <v/>
      </c>
      <c r="D231" s="213">
        <f t="shared" si="5"/>
        <v>9.7439999999999998</v>
      </c>
      <c r="E231" s="213" t="str">
        <f t="shared" si="5"/>
        <v/>
      </c>
      <c r="F231" s="213" t="str">
        <f t="shared" si="5"/>
        <v/>
      </c>
      <c r="G231" s="213" t="str">
        <f t="shared" si="5"/>
        <v/>
      </c>
      <c r="H231" s="213" t="str">
        <f t="shared" si="5"/>
        <v/>
      </c>
      <c r="I231" s="213">
        <f t="shared" si="5"/>
        <v>10.286000000000001</v>
      </c>
    </row>
    <row r="232" spans="1:22" x14ac:dyDescent="0.35">
      <c r="C232" s="213" t="str">
        <f t="shared" si="5"/>
        <v/>
      </c>
      <c r="D232" s="213" t="str">
        <f t="shared" si="5"/>
        <v/>
      </c>
      <c r="E232" s="213" t="str">
        <f t="shared" si="5"/>
        <v/>
      </c>
      <c r="F232" s="213" t="str">
        <f t="shared" si="5"/>
        <v/>
      </c>
      <c r="G232" s="213" t="str">
        <f t="shared" si="5"/>
        <v/>
      </c>
      <c r="H232" s="213" t="str">
        <f t="shared" si="5"/>
        <v/>
      </c>
      <c r="I232" s="215"/>
    </row>
    <row r="233" spans="1:22" x14ac:dyDescent="0.35">
      <c r="B233" s="214" t="s">
        <v>259</v>
      </c>
      <c r="C233" s="213" t="str">
        <f t="shared" si="5"/>
        <v/>
      </c>
      <c r="D233" s="213" t="str">
        <f>IF(D136&gt;0,D136+D$209,"")</f>
        <v/>
      </c>
      <c r="E233" s="213" t="str">
        <f>IF(E136&gt;0,E136+E$209,"")</f>
        <v/>
      </c>
      <c r="F233" s="213" t="str">
        <f>IF(F136&gt;0,F136+F$209,"")</f>
        <v/>
      </c>
      <c r="G233" s="213" t="str">
        <f>IF(G136&gt;0,G136+G$209,"")</f>
        <v/>
      </c>
      <c r="H233" s="209">
        <f>IF(H136&gt;0,H136+H$211,"")</f>
        <v>10.36</v>
      </c>
      <c r="I233" s="215"/>
    </row>
    <row r="234" spans="1:22" x14ac:dyDescent="0.35">
      <c r="B234" s="214"/>
      <c r="H234" s="213" t="str">
        <f>IF(H137&gt;0,H137+H$211,"")</f>
        <v/>
      </c>
      <c r="I234" s="215"/>
    </row>
    <row r="235" spans="1:22" x14ac:dyDescent="0.35">
      <c r="B235" s="214"/>
      <c r="I235" s="215"/>
      <c r="J235" s="215"/>
    </row>
    <row r="236" spans="1:22" ht="13.15" thickBot="1" x14ac:dyDescent="0.4"/>
    <row r="237" spans="1:22" ht="13.5" thickBot="1" x14ac:dyDescent="0.4">
      <c r="A237" s="241" t="s">
        <v>368</v>
      </c>
      <c r="B237" s="242"/>
      <c r="C237" s="242"/>
      <c r="D237" s="242"/>
      <c r="E237" s="242"/>
      <c r="F237" s="242"/>
      <c r="G237" s="242"/>
      <c r="H237" s="242"/>
      <c r="I237" s="242"/>
      <c r="J237" s="242"/>
      <c r="K237" s="242"/>
      <c r="L237" s="242"/>
      <c r="M237" s="242"/>
      <c r="N237" s="242"/>
      <c r="O237" s="242"/>
      <c r="P237" s="242"/>
      <c r="Q237" s="242"/>
      <c r="R237" s="242"/>
      <c r="S237" s="242"/>
      <c r="T237" s="242"/>
      <c r="U237" s="242"/>
      <c r="V237" s="243"/>
    </row>
    <row r="238" spans="1:22" ht="13.15" thickBot="1" x14ac:dyDescent="0.4"/>
    <row r="239" spans="1:22" ht="13.15" x14ac:dyDescent="0.4">
      <c r="B239" s="244" t="s">
        <v>369</v>
      </c>
      <c r="C239" s="245"/>
      <c r="D239" s="245"/>
      <c r="E239" s="246"/>
      <c r="F239" s="232"/>
    </row>
    <row r="240" spans="1:22" ht="13.15" x14ac:dyDescent="0.4">
      <c r="B240" s="247"/>
      <c r="C240" s="19"/>
      <c r="D240" s="19"/>
      <c r="E240" s="215"/>
      <c r="F240" s="234"/>
    </row>
    <row r="241" spans="2:6" ht="13.15" x14ac:dyDescent="0.4">
      <c r="B241" s="248" t="s">
        <v>370</v>
      </c>
      <c r="C241" s="19"/>
      <c r="D241" s="19"/>
      <c r="E241" s="215"/>
      <c r="F241" s="234"/>
    </row>
    <row r="242" spans="2:6" ht="13.15" x14ac:dyDescent="0.4">
      <c r="B242" s="247"/>
      <c r="C242" s="19"/>
      <c r="D242" s="18" t="s">
        <v>371</v>
      </c>
      <c r="E242" s="249" t="s">
        <v>372</v>
      </c>
      <c r="F242" s="250" t="s">
        <v>36</v>
      </c>
    </row>
    <row r="243" spans="2:6" ht="13.15" x14ac:dyDescent="0.4">
      <c r="B243" s="247"/>
      <c r="C243" s="19"/>
      <c r="D243" s="19"/>
      <c r="E243" s="215"/>
      <c r="F243" s="234"/>
    </row>
    <row r="244" spans="2:6" ht="13.15" x14ac:dyDescent="0.4">
      <c r="B244" s="247"/>
      <c r="C244" s="19" t="s">
        <v>69</v>
      </c>
      <c r="D244" s="251">
        <f>'Usage By Season'!C49</f>
        <v>412113</v>
      </c>
      <c r="E244" s="251">
        <f>'Usage By Season'!D49</f>
        <v>57491</v>
      </c>
      <c r="F244" s="252">
        <f>SUM(D244:E244)</f>
        <v>469604</v>
      </c>
    </row>
    <row r="245" spans="2:6" ht="13.15" x14ac:dyDescent="0.4">
      <c r="B245" s="247"/>
      <c r="C245" s="19" t="s">
        <v>62</v>
      </c>
      <c r="D245" s="251">
        <f>'Usage By Season'!C50</f>
        <v>578511</v>
      </c>
      <c r="E245" s="251">
        <f>'Usage By Season'!D50</f>
        <v>80703</v>
      </c>
      <c r="F245" s="252">
        <f>SUM(D245:E245)</f>
        <v>659214</v>
      </c>
    </row>
    <row r="246" spans="2:6" ht="13.15" x14ac:dyDescent="0.4">
      <c r="B246" s="247"/>
      <c r="C246" s="253" t="s">
        <v>36</v>
      </c>
      <c r="D246" s="254">
        <f>SUM(D244:D245)</f>
        <v>990624</v>
      </c>
      <c r="E246" s="254">
        <f t="shared" ref="E246:F246" si="6">SUM(E244:E245)</f>
        <v>138194</v>
      </c>
      <c r="F246" s="254">
        <f t="shared" si="6"/>
        <v>1128818</v>
      </c>
    </row>
    <row r="247" spans="2:6" ht="13.15" x14ac:dyDescent="0.4">
      <c r="B247" s="247"/>
      <c r="C247" s="19"/>
      <c r="D247" s="19"/>
      <c r="E247" s="215"/>
      <c r="F247" s="234"/>
    </row>
    <row r="248" spans="2:6" ht="13.15" x14ac:dyDescent="0.4">
      <c r="B248" s="248" t="s">
        <v>373</v>
      </c>
      <c r="C248" s="19"/>
      <c r="D248" s="19"/>
      <c r="E248" s="215"/>
      <c r="F248" s="234"/>
    </row>
    <row r="249" spans="2:6" ht="13.15" x14ac:dyDescent="0.4">
      <c r="B249" s="247"/>
      <c r="C249" s="19"/>
      <c r="D249" s="18" t="s">
        <v>371</v>
      </c>
      <c r="E249" s="249" t="s">
        <v>372</v>
      </c>
      <c r="F249" s="250" t="s">
        <v>36</v>
      </c>
    </row>
    <row r="250" spans="2:6" ht="13.15" x14ac:dyDescent="0.4">
      <c r="B250" s="247"/>
      <c r="C250" s="19"/>
      <c r="D250" s="19"/>
      <c r="E250" s="215"/>
      <c r="F250" s="234"/>
    </row>
    <row r="251" spans="2:6" ht="13.15" x14ac:dyDescent="0.4">
      <c r="B251" s="247"/>
      <c r="C251" s="19" t="s">
        <v>69</v>
      </c>
      <c r="D251" s="251">
        <f>'Usage By Season'!C56</f>
        <v>443736.86909145082</v>
      </c>
      <c r="E251" s="251">
        <f>'Usage By Season'!D56</f>
        <v>61902.625106057996</v>
      </c>
      <c r="F251" s="252">
        <f>SUM(D251:E251)</f>
        <v>505639.49419750879</v>
      </c>
    </row>
    <row r="252" spans="2:6" ht="13.15" x14ac:dyDescent="0.4">
      <c r="B252" s="247"/>
      <c r="C252" s="19" t="s">
        <v>62</v>
      </c>
      <c r="D252" s="251">
        <f>'Usage By Season'!C57</f>
        <v>622884.08255588706</v>
      </c>
      <c r="E252" s="251">
        <f>'Usage By Season'!D57</f>
        <v>86893.095428140339</v>
      </c>
      <c r="F252" s="252">
        <f>SUM(D252:E252)</f>
        <v>709777.17798402742</v>
      </c>
    </row>
    <row r="253" spans="2:6" ht="13.15" x14ac:dyDescent="0.4">
      <c r="B253" s="255"/>
      <c r="C253" s="253" t="s">
        <v>36</v>
      </c>
      <c r="D253" s="254">
        <f>SUM(D251:D252)</f>
        <v>1066620.951647338</v>
      </c>
      <c r="E253" s="254">
        <f t="shared" ref="E253:F253" si="7">SUM(E251:E252)</f>
        <v>148795.72053419834</v>
      </c>
      <c r="F253" s="254">
        <f t="shared" si="7"/>
        <v>1215416.6721815362</v>
      </c>
    </row>
    <row r="254" spans="2:6" ht="13.15" thickBot="1" x14ac:dyDescent="0.4">
      <c r="B254" s="236"/>
      <c r="C254" s="256"/>
      <c r="D254" s="256"/>
      <c r="E254" s="257"/>
      <c r="F254" s="258"/>
    </row>
    <row r="256" spans="2:6" ht="13.15" thickBot="1" x14ac:dyDescent="0.4"/>
    <row r="257" spans="2:21" ht="15.4" thickBot="1" x14ac:dyDescent="0.45">
      <c r="B257" s="259"/>
      <c r="C257" s="260"/>
      <c r="D257" s="261" t="s">
        <v>374</v>
      </c>
      <c r="E257" s="381" t="s">
        <v>375</v>
      </c>
      <c r="F257" s="381"/>
      <c r="G257" s="382"/>
      <c r="H257" s="381" t="s">
        <v>376</v>
      </c>
      <c r="I257" s="381"/>
      <c r="J257" s="381"/>
      <c r="K257" s="380" t="s">
        <v>377</v>
      </c>
      <c r="L257" s="381"/>
      <c r="M257" s="382"/>
      <c r="N257" s="381" t="s">
        <v>117</v>
      </c>
      <c r="O257" s="381"/>
      <c r="P257" s="380" t="s">
        <v>378</v>
      </c>
      <c r="Q257" s="381"/>
      <c r="R257" s="382"/>
      <c r="S257" s="380" t="s">
        <v>379</v>
      </c>
      <c r="T257" s="381"/>
      <c r="U257" s="382"/>
    </row>
    <row r="258" spans="2:21" ht="43.5" customHeight="1" thickBot="1" x14ac:dyDescent="0.45">
      <c r="B258" s="262"/>
      <c r="C258" s="263"/>
      <c r="D258" s="264" t="s">
        <v>380</v>
      </c>
      <c r="E258" s="265" t="s">
        <v>381</v>
      </c>
      <c r="F258" s="265" t="s">
        <v>382</v>
      </c>
      <c r="G258" s="266" t="s">
        <v>383</v>
      </c>
      <c r="H258" s="265" t="s">
        <v>380</v>
      </c>
      <c r="I258" s="265" t="s">
        <v>382</v>
      </c>
      <c r="J258" s="265" t="s">
        <v>383</v>
      </c>
      <c r="K258" s="267" t="s">
        <v>380</v>
      </c>
      <c r="L258" s="265" t="s">
        <v>384</v>
      </c>
      <c r="M258" s="266" t="s">
        <v>383</v>
      </c>
      <c r="N258" s="265" t="s">
        <v>385</v>
      </c>
      <c r="O258" s="265" t="s">
        <v>383</v>
      </c>
      <c r="P258" s="267" t="s">
        <v>386</v>
      </c>
      <c r="Q258" s="265" t="s">
        <v>387</v>
      </c>
      <c r="R258" s="266" t="s">
        <v>383</v>
      </c>
      <c r="S258" s="267" t="s">
        <v>386</v>
      </c>
      <c r="T258" s="265" t="s">
        <v>387</v>
      </c>
      <c r="U258" s="266" t="s">
        <v>383</v>
      </c>
    </row>
    <row r="259" spans="2:21" ht="13.15" x14ac:dyDescent="0.4">
      <c r="B259" s="33"/>
      <c r="C259" s="268"/>
      <c r="D259" s="269"/>
      <c r="E259" s="270"/>
      <c r="F259" s="270"/>
      <c r="G259" s="270"/>
      <c r="H259" s="269"/>
      <c r="I259" s="269"/>
      <c r="J259" s="216"/>
      <c r="K259" s="271"/>
      <c r="L259" s="271"/>
      <c r="M259" s="271"/>
      <c r="N259" s="269"/>
      <c r="O259" s="216"/>
      <c r="P259" s="271"/>
      <c r="Q259" s="271"/>
      <c r="R259" s="272"/>
      <c r="S259" s="271"/>
      <c r="T259" s="271"/>
      <c r="U259" s="272"/>
    </row>
    <row r="260" spans="2:21" ht="13.15" x14ac:dyDescent="0.4">
      <c r="B260" s="32">
        <v>46174</v>
      </c>
      <c r="C260" s="268"/>
      <c r="D260" s="273">
        <v>10021</v>
      </c>
      <c r="E260" s="274"/>
      <c r="F260" s="274"/>
      <c r="G260" s="274"/>
      <c r="H260" s="273">
        <v>7200</v>
      </c>
      <c r="I260" s="275">
        <v>54.58</v>
      </c>
      <c r="J260" s="276">
        <v>392976</v>
      </c>
      <c r="K260" s="277">
        <v>2821</v>
      </c>
      <c r="L260" s="275">
        <v>46.418222222222226</v>
      </c>
      <c r="M260" s="278">
        <v>130945.8048888889</v>
      </c>
      <c r="N260" s="275">
        <v>4.2277022385655521</v>
      </c>
      <c r="O260" s="276">
        <v>42365.804132665398</v>
      </c>
      <c r="P260" s="275">
        <v>0</v>
      </c>
      <c r="Q260" s="275">
        <v>0</v>
      </c>
      <c r="R260" s="278">
        <f>P260*Q260*1000</f>
        <v>0</v>
      </c>
      <c r="S260" s="275">
        <v>54.186717329183978</v>
      </c>
      <c r="T260" s="275">
        <v>10.760176805779819</v>
      </c>
      <c r="U260" s="278">
        <v>583058.65898683283</v>
      </c>
    </row>
    <row r="261" spans="2:21" ht="13.15" x14ac:dyDescent="0.4">
      <c r="B261" s="32">
        <f>B260+31-DAY(B260+31)+1</f>
        <v>46204</v>
      </c>
      <c r="C261" s="268"/>
      <c r="D261" s="273">
        <v>15549</v>
      </c>
      <c r="E261" s="274"/>
      <c r="F261" s="274"/>
      <c r="G261" s="274"/>
      <c r="H261" s="273">
        <v>7440</v>
      </c>
      <c r="I261" s="275">
        <v>54.58</v>
      </c>
      <c r="J261" s="276">
        <v>406075.2</v>
      </c>
      <c r="K261" s="277">
        <v>8109</v>
      </c>
      <c r="L261" s="275">
        <v>66.253010752688169</v>
      </c>
      <c r="M261" s="278">
        <v>537245.66419354838</v>
      </c>
      <c r="N261" s="275">
        <v>3.7170278874306657</v>
      </c>
      <c r="O261" s="276">
        <v>57796.066621659418</v>
      </c>
      <c r="P261" s="275">
        <v>0</v>
      </c>
      <c r="Q261" s="275">
        <v>0</v>
      </c>
      <c r="R261" s="278">
        <f t="shared" ref="R261:R271" si="8">P261*Q261*1000</f>
        <v>0</v>
      </c>
      <c r="S261" s="275">
        <v>54.186717329183978</v>
      </c>
      <c r="T261" s="275">
        <v>5.9753196485895916</v>
      </c>
      <c r="U261" s="278">
        <v>323782.95674964314</v>
      </c>
    </row>
    <row r="262" spans="2:21" ht="13.15" x14ac:dyDescent="0.4">
      <c r="B262" s="32">
        <f t="shared" ref="B262:B271" si="9">B261+31-DAY(B261+31)+1</f>
        <v>46235</v>
      </c>
      <c r="C262" s="268"/>
      <c r="D262" s="273">
        <v>12380</v>
      </c>
      <c r="E262" s="274"/>
      <c r="F262" s="274"/>
      <c r="G262" s="274"/>
      <c r="H262" s="273">
        <v>7440</v>
      </c>
      <c r="I262" s="275">
        <v>54.58</v>
      </c>
      <c r="J262" s="276">
        <v>406075.2</v>
      </c>
      <c r="K262" s="277">
        <v>4940</v>
      </c>
      <c r="L262" s="275">
        <v>54.951612903225808</v>
      </c>
      <c r="M262" s="278">
        <v>271460.96774193551</v>
      </c>
      <c r="N262" s="275">
        <v>3.4640682614695608</v>
      </c>
      <c r="O262" s="276">
        <v>42885.165076993166</v>
      </c>
      <c r="P262" s="275">
        <v>0</v>
      </c>
      <c r="Q262" s="275">
        <v>0</v>
      </c>
      <c r="R262" s="278">
        <f t="shared" si="8"/>
        <v>0</v>
      </c>
      <c r="S262" s="275">
        <v>54.186717329183978</v>
      </c>
      <c r="T262" s="275">
        <v>5.9884691924228131</v>
      </c>
      <c r="U262" s="278">
        <v>324495.48736434162</v>
      </c>
    </row>
    <row r="263" spans="2:21" ht="13.15" x14ac:dyDescent="0.4">
      <c r="B263" s="32">
        <f t="shared" si="9"/>
        <v>46266</v>
      </c>
      <c r="C263" s="268"/>
      <c r="D263" s="273">
        <v>8999</v>
      </c>
      <c r="E263" s="274"/>
      <c r="F263" s="274"/>
      <c r="G263" s="274"/>
      <c r="H263" s="273">
        <v>7200</v>
      </c>
      <c r="I263" s="275">
        <v>54.58</v>
      </c>
      <c r="J263" s="276">
        <v>392976</v>
      </c>
      <c r="K263" s="277">
        <v>1799</v>
      </c>
      <c r="L263" s="275">
        <v>48.25</v>
      </c>
      <c r="M263" s="278">
        <v>86801.75</v>
      </c>
      <c r="N263" s="275">
        <v>3.7279460706359684</v>
      </c>
      <c r="O263" s="276">
        <v>33547.786689653083</v>
      </c>
      <c r="P263" s="275">
        <v>0</v>
      </c>
      <c r="Q263" s="275">
        <v>0</v>
      </c>
      <c r="R263" s="278">
        <f t="shared" si="8"/>
        <v>0</v>
      </c>
      <c r="S263" s="275">
        <v>54.186717329183978</v>
      </c>
      <c r="T263" s="275">
        <v>5.9822892952127598</v>
      </c>
      <c r="U263" s="278">
        <v>324160.61902109702</v>
      </c>
    </row>
    <row r="264" spans="2:21" ht="13.15" x14ac:dyDescent="0.4">
      <c r="B264" s="32">
        <f t="shared" si="9"/>
        <v>46296</v>
      </c>
      <c r="C264" s="268"/>
      <c r="D264" s="273">
        <v>8143</v>
      </c>
      <c r="E264" s="274"/>
      <c r="F264" s="274"/>
      <c r="G264" s="274"/>
      <c r="H264" s="273">
        <v>7440</v>
      </c>
      <c r="I264" s="275">
        <v>54.58</v>
      </c>
      <c r="J264" s="276">
        <v>406075.2</v>
      </c>
      <c r="K264" s="277">
        <v>703</v>
      </c>
      <c r="L264" s="275">
        <v>47.637096774193552</v>
      </c>
      <c r="M264" s="278">
        <v>33488.879032258068</v>
      </c>
      <c r="N264" s="275">
        <v>3.9847764154734366</v>
      </c>
      <c r="O264" s="276">
        <v>32448.034351200193</v>
      </c>
      <c r="P264" s="275">
        <v>0</v>
      </c>
      <c r="Q264" s="275">
        <v>0</v>
      </c>
      <c r="R264" s="278">
        <f t="shared" si="8"/>
        <v>0</v>
      </c>
      <c r="S264" s="275">
        <v>54.186717329183978</v>
      </c>
      <c r="T264" s="275">
        <v>6.0466009634551412</v>
      </c>
      <c r="U264" s="278">
        <v>327645.45720911527</v>
      </c>
    </row>
    <row r="265" spans="2:21" ht="13.15" x14ac:dyDescent="0.4">
      <c r="B265" s="32">
        <f t="shared" si="9"/>
        <v>46327</v>
      </c>
      <c r="C265" s="268"/>
      <c r="D265" s="273">
        <v>7642</v>
      </c>
      <c r="E265" s="274"/>
      <c r="F265" s="274"/>
      <c r="G265" s="274"/>
      <c r="H265" s="273">
        <v>7210</v>
      </c>
      <c r="I265" s="275">
        <v>54.58</v>
      </c>
      <c r="J265" s="276">
        <v>393521.8</v>
      </c>
      <c r="K265" s="277">
        <v>432</v>
      </c>
      <c r="L265" s="275">
        <v>61.076213592233003</v>
      </c>
      <c r="M265" s="278">
        <v>26384.924271844659</v>
      </c>
      <c r="N265" s="275">
        <v>4.300285830602629</v>
      </c>
      <c r="O265" s="276">
        <v>32862.784317465288</v>
      </c>
      <c r="P265" s="275">
        <v>0</v>
      </c>
      <c r="Q265" s="275">
        <v>0</v>
      </c>
      <c r="R265" s="278">
        <f t="shared" si="8"/>
        <v>0</v>
      </c>
      <c r="S265" s="275">
        <v>54.186717329183978</v>
      </c>
      <c r="T265" s="275">
        <v>4.4116329524134397</v>
      </c>
      <c r="U265" s="278">
        <v>239051.90775254043</v>
      </c>
    </row>
    <row r="266" spans="2:21" ht="13.15" x14ac:dyDescent="0.4">
      <c r="B266" s="32">
        <f t="shared" si="9"/>
        <v>46357</v>
      </c>
      <c r="C266" s="268"/>
      <c r="D266" s="273">
        <v>14499</v>
      </c>
      <c r="E266" s="274"/>
      <c r="F266" s="274"/>
      <c r="G266" s="274"/>
      <c r="H266" s="273">
        <v>7440</v>
      </c>
      <c r="I266" s="275">
        <v>54.58</v>
      </c>
      <c r="J266" s="276">
        <v>406075.2</v>
      </c>
      <c r="K266" s="277">
        <v>7059</v>
      </c>
      <c r="L266" s="275">
        <v>114.25483870967743</v>
      </c>
      <c r="M266" s="278">
        <v>806524.90645161294</v>
      </c>
      <c r="N266" s="275">
        <v>4.2129770109097837</v>
      </c>
      <c r="O266" s="276">
        <v>61083.953681180952</v>
      </c>
      <c r="P266" s="275">
        <v>0</v>
      </c>
      <c r="Q266" s="275">
        <v>0</v>
      </c>
      <c r="R266" s="278">
        <f t="shared" si="8"/>
        <v>0</v>
      </c>
      <c r="S266" s="275">
        <v>54.186717329183978</v>
      </c>
      <c r="T266" s="275">
        <v>4.5226711541730404</v>
      </c>
      <c r="U266" s="278">
        <v>245068.70340402878</v>
      </c>
    </row>
    <row r="267" spans="2:21" ht="13.15" x14ac:dyDescent="0.4">
      <c r="B267" s="32">
        <f t="shared" si="9"/>
        <v>46388</v>
      </c>
      <c r="C267" s="268"/>
      <c r="D267" s="273">
        <v>16498</v>
      </c>
      <c r="E267" s="274"/>
      <c r="F267" s="274"/>
      <c r="G267" s="274"/>
      <c r="H267" s="273">
        <v>7440</v>
      </c>
      <c r="I267" s="275">
        <v>54.58</v>
      </c>
      <c r="J267" s="276">
        <v>406075.2</v>
      </c>
      <c r="K267" s="277">
        <v>9058</v>
      </c>
      <c r="L267" s="275">
        <v>146.06505376344086</v>
      </c>
      <c r="M267" s="278">
        <v>1323057.2569892474</v>
      </c>
      <c r="N267" s="275">
        <v>4.040992537224529</v>
      </c>
      <c r="O267" s="276">
        <v>66668.294879130277</v>
      </c>
      <c r="P267" s="275">
        <v>0</v>
      </c>
      <c r="Q267" s="275">
        <v>0</v>
      </c>
      <c r="R267" s="278">
        <f t="shared" si="8"/>
        <v>0</v>
      </c>
      <c r="S267" s="275">
        <v>54.186717329183978</v>
      </c>
      <c r="T267" s="275">
        <v>4.7872702557200526</v>
      </c>
      <c r="U267" s="278">
        <v>259406.46012511279</v>
      </c>
    </row>
    <row r="268" spans="2:21" ht="13.15" x14ac:dyDescent="0.4">
      <c r="B268" s="32">
        <f t="shared" si="9"/>
        <v>46419</v>
      </c>
      <c r="C268" s="268"/>
      <c r="D268" s="273">
        <v>13382</v>
      </c>
      <c r="E268" s="274"/>
      <c r="F268" s="274"/>
      <c r="G268" s="274"/>
      <c r="H268" s="273">
        <v>6720</v>
      </c>
      <c r="I268" s="275">
        <v>54.58</v>
      </c>
      <c r="J268" s="276">
        <v>366777.59999999998</v>
      </c>
      <c r="K268" s="277">
        <v>6662</v>
      </c>
      <c r="L268" s="275">
        <v>126.96666666666667</v>
      </c>
      <c r="M268" s="278">
        <v>845851.93333333335</v>
      </c>
      <c r="N268" s="275">
        <v>5.5768774626101552</v>
      </c>
      <c r="O268" s="276">
        <v>74629.774204649089</v>
      </c>
      <c r="P268" s="275">
        <v>0</v>
      </c>
      <c r="Q268" s="275">
        <v>0</v>
      </c>
      <c r="R268" s="278">
        <f t="shared" si="8"/>
        <v>0</v>
      </c>
      <c r="S268" s="275">
        <v>54.186717329183978</v>
      </c>
      <c r="T268" s="275">
        <v>4.7012343236514518</v>
      </c>
      <c r="U268" s="278">
        <v>254744.45539395863</v>
      </c>
    </row>
    <row r="269" spans="2:21" ht="13.15" x14ac:dyDescent="0.4">
      <c r="B269" s="32">
        <f t="shared" si="9"/>
        <v>46447</v>
      </c>
      <c r="C269" s="268"/>
      <c r="D269" s="273">
        <v>8948</v>
      </c>
      <c r="E269" s="274"/>
      <c r="F269" s="274"/>
      <c r="G269" s="274"/>
      <c r="H269" s="273">
        <v>7430</v>
      </c>
      <c r="I269" s="275">
        <v>54.58</v>
      </c>
      <c r="J269" s="276">
        <v>405529.39999999997</v>
      </c>
      <c r="K269" s="277">
        <v>1518</v>
      </c>
      <c r="L269" s="275">
        <v>63.285935397039026</v>
      </c>
      <c r="M269" s="278">
        <v>96068.049932705238</v>
      </c>
      <c r="N269" s="275">
        <v>4.7949746969283833</v>
      </c>
      <c r="O269" s="276">
        <v>42905.433588115171</v>
      </c>
      <c r="P269" s="275">
        <v>0</v>
      </c>
      <c r="Q269" s="275">
        <v>0</v>
      </c>
      <c r="R269" s="278">
        <f t="shared" si="8"/>
        <v>0</v>
      </c>
      <c r="S269" s="275">
        <v>54.186717329183978</v>
      </c>
      <c r="T269" s="275">
        <v>4.5224974137931033</v>
      </c>
      <c r="U269" s="278">
        <v>245059.28898317248</v>
      </c>
    </row>
    <row r="270" spans="2:21" ht="13.15" x14ac:dyDescent="0.4">
      <c r="B270" s="32">
        <f t="shared" si="9"/>
        <v>46478</v>
      </c>
      <c r="C270" s="268"/>
      <c r="D270" s="273">
        <v>8583</v>
      </c>
      <c r="E270" s="274"/>
      <c r="F270" s="274"/>
      <c r="G270" s="274"/>
      <c r="H270" s="273">
        <v>7200</v>
      </c>
      <c r="I270" s="275">
        <v>54.58</v>
      </c>
      <c r="J270" s="276">
        <v>392976</v>
      </c>
      <c r="K270" s="277">
        <v>1383</v>
      </c>
      <c r="L270" s="275">
        <v>50.855555555555554</v>
      </c>
      <c r="M270" s="278">
        <v>70333.233333333337</v>
      </c>
      <c r="N270" s="275">
        <v>4.6426254696978697</v>
      </c>
      <c r="O270" s="276">
        <v>39847.654406416819</v>
      </c>
      <c r="P270" s="275">
        <v>0</v>
      </c>
      <c r="Q270" s="275">
        <v>0</v>
      </c>
      <c r="R270" s="278">
        <f t="shared" si="8"/>
        <v>0</v>
      </c>
      <c r="S270" s="275">
        <v>54.186717329183978</v>
      </c>
      <c r="T270" s="275">
        <v>4.3471973849718637</v>
      </c>
      <c r="U270" s="278">
        <v>235560.35587363815</v>
      </c>
    </row>
    <row r="271" spans="2:21" ht="13.15" x14ac:dyDescent="0.4">
      <c r="B271" s="32">
        <f t="shared" si="9"/>
        <v>46508</v>
      </c>
      <c r="C271" s="268"/>
      <c r="D271" s="273">
        <v>7592</v>
      </c>
      <c r="E271" s="274"/>
      <c r="F271" s="274"/>
      <c r="G271" s="274"/>
      <c r="H271" s="273">
        <v>7440</v>
      </c>
      <c r="I271" s="275">
        <v>54.58</v>
      </c>
      <c r="J271" s="276">
        <v>406075.2</v>
      </c>
      <c r="K271" s="277">
        <v>152</v>
      </c>
      <c r="L271" s="275">
        <v>45.858064516129033</v>
      </c>
      <c r="M271" s="278">
        <v>6970.4258064516134</v>
      </c>
      <c r="N271" s="275">
        <v>4.5258235256375166</v>
      </c>
      <c r="O271" s="276">
        <v>34360.052206640023</v>
      </c>
      <c r="P271" s="275">
        <v>0</v>
      </c>
      <c r="Q271" s="275">
        <v>0</v>
      </c>
      <c r="R271" s="278">
        <f t="shared" si="8"/>
        <v>0</v>
      </c>
      <c r="S271" s="275">
        <v>54.186717329183978</v>
      </c>
      <c r="T271" s="275">
        <v>7.8127977077363902</v>
      </c>
      <c r="U271" s="278">
        <v>423349.8609392083</v>
      </c>
    </row>
    <row r="272" spans="2:21" ht="13.5" thickBot="1" x14ac:dyDescent="0.45">
      <c r="B272" s="279"/>
      <c r="C272" s="258"/>
      <c r="D272" s="269"/>
      <c r="E272" s="280"/>
      <c r="F272" s="280"/>
      <c r="G272" s="281"/>
      <c r="H272" s="269"/>
      <c r="I272" s="275"/>
      <c r="J272" s="280"/>
      <c r="K272" s="282"/>
      <c r="L272" s="282"/>
      <c r="M272" s="282"/>
      <c r="N272" s="269"/>
      <c r="O272" s="280"/>
      <c r="P272" s="275"/>
      <c r="Q272" s="282"/>
      <c r="R272" s="283"/>
      <c r="S272" s="282"/>
      <c r="T272" s="282"/>
      <c r="U272" s="283"/>
    </row>
    <row r="273" spans="2:21" ht="13.5" thickBot="1" x14ac:dyDescent="0.45">
      <c r="B273" s="284" t="s">
        <v>36</v>
      </c>
      <c r="C273" s="285"/>
      <c r="D273" s="286">
        <f>SUM(D260:D272)</f>
        <v>132236</v>
      </c>
      <c r="E273" s="287">
        <v>0</v>
      </c>
      <c r="F273" s="288">
        <v>0</v>
      </c>
      <c r="G273" s="289">
        <v>0</v>
      </c>
      <c r="H273" s="287">
        <f>SUM(H260:H272)</f>
        <v>87600</v>
      </c>
      <c r="I273" s="288"/>
      <c r="J273" s="287">
        <f>SUM(J260:J272)</f>
        <v>4781208.0000000009</v>
      </c>
      <c r="K273" s="286">
        <f>SUM(K260:K272)</f>
        <v>44636</v>
      </c>
      <c r="L273" s="290"/>
      <c r="M273" s="286">
        <f>SUM(M260:M272)</f>
        <v>4235133.7959751599</v>
      </c>
      <c r="N273" s="291">
        <f>O273/D273</f>
        <v>4.2454460521776882</v>
      </c>
      <c r="O273" s="287">
        <f>SUM(O260:O271)</f>
        <v>561400.80415576883</v>
      </c>
      <c r="P273" s="290"/>
      <c r="Q273" s="290"/>
      <c r="R273" s="286">
        <f>SUM(R260:R272)</f>
        <v>0</v>
      </c>
      <c r="S273" s="290"/>
      <c r="T273" s="290"/>
      <c r="U273" s="286">
        <f>SUM(U260:U272)</f>
        <v>3785384.2118026898</v>
      </c>
    </row>
    <row r="277" spans="2:21" ht="13.15" x14ac:dyDescent="0.4">
      <c r="B277" s="292" t="s">
        <v>388</v>
      </c>
      <c r="C277" s="216"/>
      <c r="D277" s="216"/>
      <c r="E277" s="216"/>
    </row>
    <row r="278" spans="2:21" x14ac:dyDescent="0.35">
      <c r="B278" s="216"/>
      <c r="C278" s="216"/>
      <c r="D278" s="216"/>
      <c r="E278" s="216"/>
    </row>
    <row r="279" spans="2:21" x14ac:dyDescent="0.35">
      <c r="B279" s="205" t="s">
        <v>389</v>
      </c>
      <c r="C279" s="216"/>
      <c r="D279" s="293">
        <f>$G$273</f>
        <v>0</v>
      </c>
      <c r="E279" s="294">
        <f>ROUND(D279/$D$273,2)</f>
        <v>0</v>
      </c>
    </row>
    <row r="280" spans="2:21" x14ac:dyDescent="0.35">
      <c r="B280" s="205" t="s">
        <v>376</v>
      </c>
      <c r="C280" s="216"/>
      <c r="D280" s="293">
        <f>$J$273</f>
        <v>4781208.0000000009</v>
      </c>
      <c r="E280" s="294">
        <f>ROUND(D280/$D$273,2)</f>
        <v>36.159999999999997</v>
      </c>
    </row>
    <row r="281" spans="2:21" x14ac:dyDescent="0.35">
      <c r="B281" s="205" t="s">
        <v>377</v>
      </c>
      <c r="C281" s="216"/>
      <c r="D281" s="293">
        <f>$M$273</f>
        <v>4235133.7959751599</v>
      </c>
      <c r="E281" s="294">
        <f>ROUND(D281/$K$273,2)</f>
        <v>94.88</v>
      </c>
    </row>
    <row r="282" spans="2:21" x14ac:dyDescent="0.35">
      <c r="B282" s="205" t="s">
        <v>117</v>
      </c>
      <c r="C282" s="216"/>
      <c r="D282" s="293">
        <f>O273</f>
        <v>561400.80415576883</v>
      </c>
      <c r="E282" s="294">
        <f>ROUND(D282/$D$273,2)</f>
        <v>4.25</v>
      </c>
    </row>
    <row r="283" spans="2:21" x14ac:dyDescent="0.35">
      <c r="B283" s="205" t="s">
        <v>378</v>
      </c>
      <c r="C283" s="216"/>
      <c r="D283" s="295">
        <f>U273</f>
        <v>3785384.2118026898</v>
      </c>
      <c r="E283" s="296">
        <f>ROUND(D283/$D$273,2)</f>
        <v>28.63</v>
      </c>
    </row>
    <row r="284" spans="2:21" x14ac:dyDescent="0.35">
      <c r="B284" s="216"/>
      <c r="C284" s="216"/>
      <c r="D284" s="293">
        <f>SUM(D279:D283)</f>
        <v>13363126.811933618</v>
      </c>
      <c r="E284" s="294">
        <f>SUM(E279:E283)</f>
        <v>163.92</v>
      </c>
    </row>
    <row r="285" spans="2:21" x14ac:dyDescent="0.35">
      <c r="B285" s="216" t="s">
        <v>390</v>
      </c>
      <c r="C285" s="216"/>
      <c r="D285" s="293">
        <f>$D$273</f>
        <v>132236</v>
      </c>
    </row>
    <row r="286" spans="2:21" x14ac:dyDescent="0.35">
      <c r="B286" s="216" t="s">
        <v>232</v>
      </c>
      <c r="C286" s="216"/>
      <c r="D286" s="209">
        <f>ROUND(D284/D285,2)</f>
        <v>101.06</v>
      </c>
    </row>
  </sheetData>
  <mergeCells count="6">
    <mergeCell ref="S257:U257"/>
    <mergeCell ref="E257:G257"/>
    <mergeCell ref="H257:J257"/>
    <mergeCell ref="K257:M257"/>
    <mergeCell ref="N257:O257"/>
    <mergeCell ref="P257:R257"/>
  </mergeCells>
  <printOptions horizontalCentered="1"/>
  <pageMargins left="0.5" right="0.5" top="0.5" bottom="0.5" header="0.5" footer="0.25"/>
  <pageSetup scale="82" orientation="landscape" r:id="rId1"/>
  <headerFooter alignWithMargins="0">
    <oddHeader xml:space="preserve">&amp;R&amp;"Arial,Bold"Attachment C&amp;"Arial,Regular"
Page &amp;P of &amp;N
</oddHeader>
    <oddFooter>&amp;L&amp;F&amp;C_x000D_&amp;1#&amp;"Aptos"&amp;22&amp;K0073CF INTERNAL&amp;R&amp;D</oddFooter>
  </headerFooter>
  <rowBreaks count="5" manualBreakCount="5">
    <brk id="45" max="9" man="1"/>
    <brk id="75" max="9" man="1"/>
    <brk id="112" max="9" man="1"/>
    <brk id="161" max="9" man="1"/>
    <brk id="204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BE5F6-4F04-4DF2-98DB-19E53C0AF59A}">
  <sheetPr codeName="Sheet7">
    <pageSetUpPr fitToPage="1"/>
  </sheetPr>
  <dimension ref="A1:K58"/>
  <sheetViews>
    <sheetView workbookViewId="0"/>
  </sheetViews>
  <sheetFormatPr defaultRowHeight="12.75" x14ac:dyDescent="0.35"/>
  <cols>
    <col min="1" max="1" width="10.59765625" customWidth="1"/>
    <col min="2" max="2" width="11.3984375" bestFit="1" customWidth="1"/>
    <col min="3" max="3" width="10.3984375" bestFit="1" customWidth="1"/>
    <col min="4" max="4" width="9.3984375" bestFit="1" customWidth="1"/>
    <col min="5" max="5" width="10.3984375" bestFit="1" customWidth="1"/>
    <col min="6" max="7" width="9.3984375" bestFit="1" customWidth="1"/>
    <col min="8" max="8" width="11.3984375" bestFit="1" customWidth="1"/>
    <col min="9" max="9" width="10.1328125" bestFit="1" customWidth="1"/>
    <col min="12" max="12" width="11.59765625" bestFit="1" customWidth="1"/>
  </cols>
  <sheetData>
    <row r="1" spans="1:8" x14ac:dyDescent="0.35">
      <c r="A1" t="s">
        <v>391</v>
      </c>
    </row>
    <row r="2" spans="1:8" x14ac:dyDescent="0.35">
      <c r="A2" t="str">
        <f>"Table 3 - Billed Sales Forecast " &amp;'BGS Cost &amp; Bid Factors'!M1</f>
        <v>Table 3 - Billed Sales Forecast 2027</v>
      </c>
    </row>
    <row r="4" spans="1:8" x14ac:dyDescent="0.35">
      <c r="A4" s="167" t="s">
        <v>353</v>
      </c>
    </row>
    <row r="6" spans="1:8" x14ac:dyDescent="0.35">
      <c r="B6" s="149" t="s">
        <v>7</v>
      </c>
      <c r="C6" s="149" t="s">
        <v>8</v>
      </c>
      <c r="D6" s="149" t="s">
        <v>9</v>
      </c>
      <c r="E6" s="149" t="s">
        <v>10</v>
      </c>
      <c r="F6" s="149" t="s">
        <v>11</v>
      </c>
      <c r="G6" s="149" t="s">
        <v>12</v>
      </c>
      <c r="H6" s="149" t="s">
        <v>36</v>
      </c>
    </row>
    <row r="7" spans="1:8" x14ac:dyDescent="0.35">
      <c r="A7" t="s">
        <v>62</v>
      </c>
      <c r="B7" s="297">
        <f>'BGS Cost &amp; Bid Factors'!L44</f>
        <v>418285</v>
      </c>
      <c r="C7" s="297">
        <f>'BGS Cost &amp; Bid Factors'!M44</f>
        <v>196.14260799999465</v>
      </c>
      <c r="D7" s="297">
        <f>'BGS Cost &amp; Bid Factors'!N44</f>
        <v>8526</v>
      </c>
      <c r="E7" s="297">
        <f>'BGS Cost &amp; Bid Factors'!O44</f>
        <v>4362</v>
      </c>
      <c r="F7" s="297">
        <f>'BGS Cost &amp; Bid Factors'!P44</f>
        <v>3444</v>
      </c>
      <c r="G7" s="297">
        <f>'BGS Cost &amp; Bid Factors'!Q44</f>
        <v>224400.92990207253</v>
      </c>
      <c r="H7" s="298">
        <f>SUM(B7:G7)</f>
        <v>659214.0725100725</v>
      </c>
    </row>
    <row r="8" spans="1:8" x14ac:dyDescent="0.35">
      <c r="A8" t="s">
        <v>392</v>
      </c>
      <c r="B8" s="299">
        <f>'BGS Cost &amp; Bid Factors'!C$81</f>
        <v>1.076782165301982</v>
      </c>
      <c r="C8" s="299">
        <f>'BGS Cost &amp; Bid Factors'!D$81</f>
        <v>1.076782165301982</v>
      </c>
      <c r="D8" s="299">
        <f>'BGS Cost &amp; Bid Factors'!E$81</f>
        <v>1.076782165301982</v>
      </c>
      <c r="E8" s="299">
        <f>'BGS Cost &amp; Bid Factors'!F$81</f>
        <v>1.0730329168354669</v>
      </c>
      <c r="F8" s="299">
        <f>'BGS Cost &amp; Bid Factors'!G$81</f>
        <v>1.0662287066659542</v>
      </c>
      <c r="G8" s="299">
        <f>'BGS Cost &amp; Bid Factors'!H$81</f>
        <v>1.076782165301982</v>
      </c>
    </row>
    <row r="9" spans="1:8" x14ac:dyDescent="0.35">
      <c r="A9" t="s">
        <v>393</v>
      </c>
      <c r="B9" s="297">
        <f t="shared" ref="B9:G9" si="0">B7*B8</f>
        <v>450401.82801333955</v>
      </c>
      <c r="C9" s="297">
        <f t="shared" si="0"/>
        <v>211.2028621502121</v>
      </c>
      <c r="D9" s="297">
        <f t="shared" si="0"/>
        <v>9180.6447413646983</v>
      </c>
      <c r="E9" s="297">
        <f t="shared" si="0"/>
        <v>4680.5695832363062</v>
      </c>
      <c r="F9" s="297">
        <f t="shared" si="0"/>
        <v>3672.0916657575463</v>
      </c>
      <c r="G9" s="297">
        <f t="shared" si="0"/>
        <v>241630.91919573193</v>
      </c>
      <c r="H9" s="298">
        <f>SUM(B9:G9)</f>
        <v>709777.25606158026</v>
      </c>
    </row>
    <row r="13" spans="1:8" x14ac:dyDescent="0.35">
      <c r="A13" t="s">
        <v>69</v>
      </c>
      <c r="B13" s="297">
        <f>'BGS Cost &amp; Bid Factors'!L48</f>
        <v>329626.5</v>
      </c>
      <c r="C13" s="297">
        <f>'BGS Cost &amp; Bid Factors'!M48</f>
        <v>119.05706366668164</v>
      </c>
      <c r="D13" s="297">
        <f>'BGS Cost &amp; Bid Factors'!N48</f>
        <v>3487</v>
      </c>
      <c r="E13" s="297">
        <f>'BGS Cost &amp; Bid Factors'!O48</f>
        <v>1696.5</v>
      </c>
      <c r="F13" s="297">
        <f>'BGS Cost &amp; Bid Factors'!P48</f>
        <v>1455</v>
      </c>
      <c r="G13" s="297">
        <f>'BGS Cost &amp; Bid Factors'!Q48</f>
        <v>133219.42662814361</v>
      </c>
      <c r="H13" s="298">
        <f>SUM(B13:G13)</f>
        <v>469603.48369181028</v>
      </c>
    </row>
    <row r="14" spans="1:8" x14ac:dyDescent="0.35">
      <c r="A14" t="s">
        <v>392</v>
      </c>
      <c r="B14" s="299">
        <f>'BGS Cost &amp; Bid Factors'!C$81</f>
        <v>1.076782165301982</v>
      </c>
      <c r="C14" s="299">
        <f>'BGS Cost &amp; Bid Factors'!D$81</f>
        <v>1.076782165301982</v>
      </c>
      <c r="D14" s="299">
        <f>'BGS Cost &amp; Bid Factors'!E$81</f>
        <v>1.076782165301982</v>
      </c>
      <c r="E14" s="299">
        <f>'BGS Cost &amp; Bid Factors'!F$81</f>
        <v>1.0730329168354669</v>
      </c>
      <c r="F14" s="299">
        <f>'BGS Cost &amp; Bid Factors'!G$81</f>
        <v>1.0662287066659542</v>
      </c>
      <c r="G14" s="299">
        <f>'BGS Cost &amp; Bid Factors'!H$81</f>
        <v>1.076782165301982</v>
      </c>
    </row>
    <row r="15" spans="1:8" x14ac:dyDescent="0.35">
      <c r="A15" t="s">
        <v>393</v>
      </c>
      <c r="B15" s="297">
        <f t="shared" ref="B15:G15" si="1">B13*B14</f>
        <v>354935.93641091377</v>
      </c>
      <c r="C15" s="297">
        <f t="shared" si="1"/>
        <v>128.19852280950539</v>
      </c>
      <c r="D15" s="297">
        <f t="shared" si="1"/>
        <v>3754.7394104080113</v>
      </c>
      <c r="E15" s="297">
        <f t="shared" si="1"/>
        <v>1820.4003434113695</v>
      </c>
      <c r="F15" s="297">
        <f t="shared" si="1"/>
        <v>1551.3627681989633</v>
      </c>
      <c r="G15" s="297">
        <f t="shared" si="1"/>
        <v>143448.302664941</v>
      </c>
      <c r="H15" s="298">
        <f>SUM(B15:G15)</f>
        <v>505638.94012068259</v>
      </c>
    </row>
    <row r="16" spans="1:8" ht="13.15" thickBot="1" x14ac:dyDescent="0.4"/>
    <row r="17" spans="1:11" ht="13.15" thickBot="1" x14ac:dyDescent="0.4">
      <c r="A17" s="167" t="s">
        <v>394</v>
      </c>
      <c r="C17" s="300">
        <f>'BGS Cost &amp; Bid Factors'!D447</f>
        <v>0.87757788503729706</v>
      </c>
    </row>
    <row r="19" spans="1:11" x14ac:dyDescent="0.35">
      <c r="B19" s="149" t="s">
        <v>7</v>
      </c>
      <c r="C19" s="149" t="s">
        <v>8</v>
      </c>
      <c r="D19" s="149" t="s">
        <v>9</v>
      </c>
      <c r="E19" s="149" t="s">
        <v>10</v>
      </c>
      <c r="F19" s="149" t="s">
        <v>11</v>
      </c>
      <c r="G19" s="149" t="s">
        <v>12</v>
      </c>
      <c r="H19" s="149" t="s">
        <v>36</v>
      </c>
    </row>
    <row r="20" spans="1:11" x14ac:dyDescent="0.35">
      <c r="A20" t="s">
        <v>62</v>
      </c>
      <c r="B20" s="297">
        <f t="shared" ref="B20:G20" si="2">ROUND(B$7*$C17,0)</f>
        <v>367078</v>
      </c>
      <c r="C20" s="297">
        <f t="shared" si="2"/>
        <v>172</v>
      </c>
      <c r="D20" s="297">
        <f t="shared" si="2"/>
        <v>7482</v>
      </c>
      <c r="E20" s="297">
        <f t="shared" si="2"/>
        <v>3828</v>
      </c>
      <c r="F20" s="297">
        <f t="shared" si="2"/>
        <v>3022</v>
      </c>
      <c r="G20" s="297">
        <f t="shared" si="2"/>
        <v>196929</v>
      </c>
      <c r="H20" s="298">
        <f>SUM(B20:G20)</f>
        <v>578511</v>
      </c>
    </row>
    <row r="21" spans="1:11" x14ac:dyDescent="0.35">
      <c r="A21" t="s">
        <v>392</v>
      </c>
      <c r="B21" s="299">
        <f>'BGS Cost &amp; Bid Factors'!C$81</f>
        <v>1.076782165301982</v>
      </c>
      <c r="C21" s="299">
        <f>'BGS Cost &amp; Bid Factors'!D$81</f>
        <v>1.076782165301982</v>
      </c>
      <c r="D21" s="299">
        <f>'BGS Cost &amp; Bid Factors'!E$81</f>
        <v>1.076782165301982</v>
      </c>
      <c r="E21" s="299">
        <f>'BGS Cost &amp; Bid Factors'!F$81</f>
        <v>1.0730329168354669</v>
      </c>
      <c r="F21" s="299">
        <f>'BGS Cost &amp; Bid Factors'!G$81</f>
        <v>1.0662287066659542</v>
      </c>
      <c r="G21" s="299">
        <f>'BGS Cost &amp; Bid Factors'!H$81</f>
        <v>1.076782165301982</v>
      </c>
    </row>
    <row r="22" spans="1:11" x14ac:dyDescent="0.35">
      <c r="A22" t="s">
        <v>393</v>
      </c>
      <c r="B22" s="297">
        <f t="shared" ref="B22:G22" si="3">B20*B21</f>
        <v>395263.04367472098</v>
      </c>
      <c r="C22" s="297">
        <f t="shared" si="3"/>
        <v>185.2065324319409</v>
      </c>
      <c r="D22" s="297">
        <f t="shared" si="3"/>
        <v>8056.4841607894296</v>
      </c>
      <c r="E22" s="297">
        <f t="shared" si="3"/>
        <v>4107.5700056461674</v>
      </c>
      <c r="F22" s="297">
        <f t="shared" si="3"/>
        <v>3222.1431515445133</v>
      </c>
      <c r="G22" s="297">
        <f t="shared" si="3"/>
        <v>212049.63503075403</v>
      </c>
      <c r="H22" s="298">
        <f>SUM(B22:G22)</f>
        <v>622884.08255588706</v>
      </c>
    </row>
    <row r="23" spans="1:11" x14ac:dyDescent="0.35">
      <c r="K23" s="301"/>
    </row>
    <row r="26" spans="1:11" x14ac:dyDescent="0.35">
      <c r="A26" t="s">
        <v>69</v>
      </c>
      <c r="B26" s="297">
        <f t="shared" ref="B26:G26" si="4">ROUND(B$13*$C17,0)</f>
        <v>289273</v>
      </c>
      <c r="C26" s="297">
        <f t="shared" si="4"/>
        <v>104</v>
      </c>
      <c r="D26" s="297">
        <f t="shared" si="4"/>
        <v>3060</v>
      </c>
      <c r="E26" s="297">
        <f t="shared" si="4"/>
        <v>1489</v>
      </c>
      <c r="F26" s="297">
        <f t="shared" si="4"/>
        <v>1277</v>
      </c>
      <c r="G26" s="297">
        <f t="shared" si="4"/>
        <v>116910</v>
      </c>
      <c r="H26" s="298">
        <f>SUM(B26:G26)</f>
        <v>412113</v>
      </c>
    </row>
    <row r="27" spans="1:11" x14ac:dyDescent="0.35">
      <c r="A27" t="s">
        <v>392</v>
      </c>
      <c r="B27" s="299">
        <f>'BGS Cost &amp; Bid Factors'!C$81</f>
        <v>1.076782165301982</v>
      </c>
      <c r="C27" s="299">
        <f>'BGS Cost &amp; Bid Factors'!D$81</f>
        <v>1.076782165301982</v>
      </c>
      <c r="D27" s="299">
        <f>'BGS Cost &amp; Bid Factors'!E$81</f>
        <v>1.076782165301982</v>
      </c>
      <c r="E27" s="299">
        <f>'BGS Cost &amp; Bid Factors'!F$81</f>
        <v>1.0730329168354669</v>
      </c>
      <c r="F27" s="299">
        <f>'BGS Cost &amp; Bid Factors'!G$81</f>
        <v>1.0662287066659542</v>
      </c>
      <c r="G27" s="299">
        <f>'BGS Cost &amp; Bid Factors'!H$81</f>
        <v>1.076782165301982</v>
      </c>
    </row>
    <row r="28" spans="1:11" x14ac:dyDescent="0.35">
      <c r="A28" t="s">
        <v>393</v>
      </c>
      <c r="B28" s="297">
        <f t="shared" ref="B28:G28" si="5">B26*B27</f>
        <v>311484.00730340026</v>
      </c>
      <c r="C28" s="297">
        <f t="shared" si="5"/>
        <v>111.98534519140613</v>
      </c>
      <c r="D28" s="297">
        <f t="shared" si="5"/>
        <v>3294.9534258240651</v>
      </c>
      <c r="E28" s="297">
        <f t="shared" si="5"/>
        <v>1597.7460131680102</v>
      </c>
      <c r="F28" s="297">
        <f t="shared" si="5"/>
        <v>1361.5740584124235</v>
      </c>
      <c r="G28" s="297">
        <f t="shared" si="5"/>
        <v>125886.60294545471</v>
      </c>
      <c r="H28" s="298">
        <f>SUM(B28:G28)</f>
        <v>443736.86909145082</v>
      </c>
    </row>
    <row r="29" spans="1:11" ht="13.15" thickBot="1" x14ac:dyDescent="0.4"/>
    <row r="30" spans="1:11" ht="13.15" thickBot="1" x14ac:dyDescent="0.4">
      <c r="A30" s="167" t="s">
        <v>395</v>
      </c>
      <c r="C30" s="300">
        <f>'BGS Cost &amp; Bid Factors'!E447</f>
        <v>0.12242211496270296</v>
      </c>
    </row>
    <row r="32" spans="1:11" x14ac:dyDescent="0.35">
      <c r="B32" s="149" t="s">
        <v>7</v>
      </c>
      <c r="C32" s="149" t="s">
        <v>8</v>
      </c>
      <c r="D32" s="149" t="s">
        <v>9</v>
      </c>
      <c r="E32" s="149" t="s">
        <v>10</v>
      </c>
      <c r="F32" s="149" t="s">
        <v>11</v>
      </c>
      <c r="G32" s="149" t="s">
        <v>12</v>
      </c>
      <c r="H32" s="149" t="s">
        <v>36</v>
      </c>
    </row>
    <row r="33" spans="1:8" x14ac:dyDescent="0.35">
      <c r="A33" t="s">
        <v>62</v>
      </c>
      <c r="B33" s="297">
        <f t="shared" ref="B33:G33" si="6">ROUND(B$7*$C30,0)</f>
        <v>51207</v>
      </c>
      <c r="C33" s="297">
        <f t="shared" si="6"/>
        <v>24</v>
      </c>
      <c r="D33" s="297">
        <f t="shared" si="6"/>
        <v>1044</v>
      </c>
      <c r="E33" s="297">
        <f t="shared" si="6"/>
        <v>534</v>
      </c>
      <c r="F33" s="297">
        <f t="shared" si="6"/>
        <v>422</v>
      </c>
      <c r="G33" s="297">
        <f t="shared" si="6"/>
        <v>27472</v>
      </c>
      <c r="H33" s="298">
        <f>SUM(B33:G33)</f>
        <v>80703</v>
      </c>
    </row>
    <row r="34" spans="1:8" x14ac:dyDescent="0.35">
      <c r="A34" t="s">
        <v>392</v>
      </c>
      <c r="B34" s="299">
        <f>'BGS Cost &amp; Bid Factors'!C$81</f>
        <v>1.076782165301982</v>
      </c>
      <c r="C34" s="299">
        <f>'BGS Cost &amp; Bid Factors'!D$81</f>
        <v>1.076782165301982</v>
      </c>
      <c r="D34" s="299">
        <f>'BGS Cost &amp; Bid Factors'!E$81</f>
        <v>1.076782165301982</v>
      </c>
      <c r="E34" s="299">
        <f>'BGS Cost &amp; Bid Factors'!F$81</f>
        <v>1.0730329168354669</v>
      </c>
      <c r="F34" s="299">
        <f>'BGS Cost &amp; Bid Factors'!G$81</f>
        <v>1.0662287066659542</v>
      </c>
      <c r="G34" s="299">
        <f>'BGS Cost &amp; Bid Factors'!H$81</f>
        <v>1.076782165301982</v>
      </c>
    </row>
    <row r="35" spans="1:8" x14ac:dyDescent="0.35">
      <c r="A35" t="s">
        <v>393</v>
      </c>
      <c r="B35" s="297">
        <f t="shared" ref="B35:G35" si="7">B33*B34</f>
        <v>55138.784338618592</v>
      </c>
      <c r="C35" s="297">
        <f t="shared" si="7"/>
        <v>25.842771967247568</v>
      </c>
      <c r="D35" s="297">
        <f t="shared" si="7"/>
        <v>1124.1605805752693</v>
      </c>
      <c r="E35" s="297">
        <f t="shared" si="7"/>
        <v>572.99957759013932</v>
      </c>
      <c r="F35" s="297">
        <f t="shared" si="7"/>
        <v>449.94851421303264</v>
      </c>
      <c r="G35" s="297">
        <f t="shared" si="7"/>
        <v>29581.35964517605</v>
      </c>
      <c r="H35" s="298">
        <f>SUM(B35:G35)</f>
        <v>86893.095428140339</v>
      </c>
    </row>
    <row r="39" spans="1:8" x14ac:dyDescent="0.35">
      <c r="A39" t="s">
        <v>69</v>
      </c>
      <c r="B39" s="297">
        <f t="shared" ref="B39:G39" si="8">ROUND(B$13*$C30,0)</f>
        <v>40354</v>
      </c>
      <c r="C39" s="297">
        <f t="shared" si="8"/>
        <v>15</v>
      </c>
      <c r="D39" s="297">
        <f t="shared" si="8"/>
        <v>427</v>
      </c>
      <c r="E39" s="297">
        <f t="shared" si="8"/>
        <v>208</v>
      </c>
      <c r="F39" s="297">
        <f t="shared" si="8"/>
        <v>178</v>
      </c>
      <c r="G39" s="297">
        <f t="shared" si="8"/>
        <v>16309</v>
      </c>
      <c r="H39" s="298">
        <f>SUM(B39:G39)</f>
        <v>57491</v>
      </c>
    </row>
    <row r="40" spans="1:8" x14ac:dyDescent="0.35">
      <c r="A40" t="s">
        <v>392</v>
      </c>
      <c r="B40" s="299">
        <f>'BGS Cost &amp; Bid Factors'!C$81</f>
        <v>1.076782165301982</v>
      </c>
      <c r="C40" s="299">
        <f>'BGS Cost &amp; Bid Factors'!D$81</f>
        <v>1.076782165301982</v>
      </c>
      <c r="D40" s="299">
        <f>'BGS Cost &amp; Bid Factors'!E$81</f>
        <v>1.076782165301982</v>
      </c>
      <c r="E40" s="299">
        <f>'BGS Cost &amp; Bid Factors'!F$81</f>
        <v>1.0730329168354669</v>
      </c>
      <c r="F40" s="299">
        <f>'BGS Cost &amp; Bid Factors'!G$81</f>
        <v>1.0662287066659542</v>
      </c>
      <c r="G40" s="299">
        <f>'BGS Cost &amp; Bid Factors'!H$81</f>
        <v>1.076782165301982</v>
      </c>
    </row>
    <row r="41" spans="1:8" x14ac:dyDescent="0.35">
      <c r="A41" t="s">
        <v>393</v>
      </c>
      <c r="B41" s="297">
        <f t="shared" ref="B41:G41" si="9">B39*B40</f>
        <v>43452.467498596183</v>
      </c>
      <c r="C41" s="297">
        <f t="shared" si="9"/>
        <v>16.151732479529731</v>
      </c>
      <c r="D41" s="297">
        <f t="shared" si="9"/>
        <v>459.78598458394634</v>
      </c>
      <c r="E41" s="297">
        <f t="shared" si="9"/>
        <v>223.1908467017771</v>
      </c>
      <c r="F41" s="297">
        <f t="shared" si="9"/>
        <v>189.78870978653984</v>
      </c>
      <c r="G41" s="297">
        <f t="shared" si="9"/>
        <v>17561.240333910024</v>
      </c>
      <c r="H41" s="298">
        <f>SUM(B41:G41)</f>
        <v>61902.625106057996</v>
      </c>
    </row>
    <row r="43" spans="1:8" ht="13.15" thickBot="1" x14ac:dyDescent="0.4"/>
    <row r="44" spans="1:8" x14ac:dyDescent="0.35">
      <c r="A44" s="302" t="s">
        <v>396</v>
      </c>
      <c r="B44" s="303"/>
      <c r="C44" s="303"/>
      <c r="D44" s="303"/>
      <c r="E44" s="304"/>
    </row>
    <row r="45" spans="1:8" x14ac:dyDescent="0.35">
      <c r="A45" s="305"/>
      <c r="B45" s="306"/>
      <c r="C45" s="306"/>
      <c r="D45" s="306"/>
      <c r="E45" s="307"/>
    </row>
    <row r="46" spans="1:8" x14ac:dyDescent="0.35">
      <c r="A46" s="305" t="s">
        <v>370</v>
      </c>
      <c r="B46" s="306"/>
      <c r="C46" s="306"/>
      <c r="D46" s="306"/>
      <c r="E46" s="307"/>
    </row>
    <row r="47" spans="1:8" x14ac:dyDescent="0.35">
      <c r="A47" s="305"/>
      <c r="B47" s="306"/>
      <c r="C47" s="308" t="s">
        <v>371</v>
      </c>
      <c r="D47" s="308" t="s">
        <v>372</v>
      </c>
      <c r="E47" s="309" t="s">
        <v>36</v>
      </c>
    </row>
    <row r="48" spans="1:8" x14ac:dyDescent="0.35">
      <c r="A48" s="305"/>
      <c r="B48" s="306"/>
      <c r="C48" s="306"/>
      <c r="D48" s="306"/>
      <c r="E48" s="307"/>
    </row>
    <row r="49" spans="1:5" x14ac:dyDescent="0.35">
      <c r="A49" s="305"/>
      <c r="B49" s="306" t="s">
        <v>69</v>
      </c>
      <c r="C49" s="310">
        <f>H26</f>
        <v>412113</v>
      </c>
      <c r="D49" s="310">
        <f>H39</f>
        <v>57491</v>
      </c>
      <c r="E49" s="311">
        <f>SUM(C49:D49)</f>
        <v>469604</v>
      </c>
    </row>
    <row r="50" spans="1:5" x14ac:dyDescent="0.35">
      <c r="A50" s="305"/>
      <c r="B50" s="306" t="s">
        <v>62</v>
      </c>
      <c r="C50" s="312">
        <f>H20</f>
        <v>578511</v>
      </c>
      <c r="D50" s="312">
        <f>H33</f>
        <v>80703</v>
      </c>
      <c r="E50" s="313">
        <f>SUM(C50:D50)</f>
        <v>659214</v>
      </c>
    </row>
    <row r="51" spans="1:5" x14ac:dyDescent="0.35">
      <c r="A51" s="305"/>
      <c r="B51" s="306" t="s">
        <v>36</v>
      </c>
      <c r="C51" s="310">
        <f>SUM(C49:C50)</f>
        <v>990624</v>
      </c>
      <c r="D51" s="310">
        <f>SUM(D49:D50)</f>
        <v>138194</v>
      </c>
      <c r="E51" s="311">
        <f>SUM(E49:E50)</f>
        <v>1128818</v>
      </c>
    </row>
    <row r="52" spans="1:5" x14ac:dyDescent="0.35">
      <c r="A52" s="305"/>
      <c r="B52" s="306"/>
      <c r="C52" s="306"/>
      <c r="D52" s="306"/>
      <c r="E52" s="307"/>
    </row>
    <row r="53" spans="1:5" x14ac:dyDescent="0.35">
      <c r="A53" s="305" t="s">
        <v>373</v>
      </c>
      <c r="B53" s="306"/>
      <c r="C53" s="306"/>
      <c r="D53" s="306"/>
      <c r="E53" s="307"/>
    </row>
    <row r="54" spans="1:5" x14ac:dyDescent="0.35">
      <c r="A54" s="305"/>
      <c r="B54" s="306"/>
      <c r="C54" s="308" t="s">
        <v>371</v>
      </c>
      <c r="D54" s="308" t="s">
        <v>372</v>
      </c>
      <c r="E54" s="309" t="s">
        <v>36</v>
      </c>
    </row>
    <row r="55" spans="1:5" x14ac:dyDescent="0.35">
      <c r="A55" s="305"/>
      <c r="B55" s="306"/>
      <c r="C55" s="306"/>
      <c r="D55" s="306"/>
      <c r="E55" s="307"/>
    </row>
    <row r="56" spans="1:5" x14ac:dyDescent="0.35">
      <c r="A56" s="305"/>
      <c r="B56" s="306" t="s">
        <v>69</v>
      </c>
      <c r="C56" s="310">
        <f>H28</f>
        <v>443736.86909145082</v>
      </c>
      <c r="D56" s="310">
        <f>H41</f>
        <v>61902.625106057996</v>
      </c>
      <c r="E56" s="311">
        <f>SUM(C56:D56)</f>
        <v>505639.49419750879</v>
      </c>
    </row>
    <row r="57" spans="1:5" x14ac:dyDescent="0.35">
      <c r="A57" s="305"/>
      <c r="B57" s="306" t="s">
        <v>62</v>
      </c>
      <c r="C57" s="312">
        <f>H22</f>
        <v>622884.08255588706</v>
      </c>
      <c r="D57" s="312">
        <f>H35</f>
        <v>86893.095428140339</v>
      </c>
      <c r="E57" s="313">
        <f>SUM(C57:D57)</f>
        <v>709777.17798402742</v>
      </c>
    </row>
    <row r="58" spans="1:5" ht="13.15" thickBot="1" x14ac:dyDescent="0.4">
      <c r="A58" s="314"/>
      <c r="B58" s="315" t="s">
        <v>36</v>
      </c>
      <c r="C58" s="316">
        <f>SUM(C56:C57)</f>
        <v>1066620.951647338</v>
      </c>
      <c r="D58" s="316">
        <f>SUM(D56:D57)</f>
        <v>148795.72053419834</v>
      </c>
      <c r="E58" s="317">
        <f>SUM(E56:E57)</f>
        <v>1215416.6721815362</v>
      </c>
    </row>
  </sheetData>
  <pageMargins left="0.75" right="0.75" top="0.27" bottom="0.27" header="0.17" footer="0.17"/>
  <pageSetup scale="10" orientation="landscape" r:id="rId1"/>
  <headerFooter alignWithMargins="0">
    <oddFooter>&amp;C_x000D_&amp;1#&amp;"Aptos"&amp;22&amp;K0073CF INTERNAL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26118-1166-4834-BDBC-B990EFCF1F60}">
  <sheetPr codeName="Sheet8"/>
  <dimension ref="A1:AI130"/>
  <sheetViews>
    <sheetView workbookViewId="0"/>
  </sheetViews>
  <sheetFormatPr defaultRowHeight="12.75" x14ac:dyDescent="0.35"/>
  <cols>
    <col min="2" max="2" width="11.59765625" customWidth="1"/>
    <col min="3" max="7" width="12.3984375" customWidth="1"/>
    <col min="8" max="8" width="10.86328125" customWidth="1"/>
    <col min="9" max="9" width="9.86328125" bestFit="1" customWidth="1"/>
    <col min="11" max="11" width="14.86328125" bestFit="1" customWidth="1"/>
    <col min="14" max="14" width="9.265625" bestFit="1" customWidth="1"/>
    <col min="15" max="15" width="12.73046875" customWidth="1"/>
    <col min="16" max="16" width="12.86328125" customWidth="1"/>
    <col min="20" max="20" width="10.265625" bestFit="1" customWidth="1"/>
  </cols>
  <sheetData>
    <row r="1" spans="1:35" ht="13.15" x14ac:dyDescent="0.4">
      <c r="A1" s="292" t="s">
        <v>397</v>
      </c>
    </row>
    <row r="2" spans="1:35" ht="13.15" x14ac:dyDescent="0.4">
      <c r="A2" s="292"/>
      <c r="E2" s="318"/>
      <c r="F2" s="318"/>
      <c r="G2" s="318"/>
      <c r="H2" s="318"/>
      <c r="I2" s="318"/>
      <c r="J2" s="318"/>
      <c r="K2" s="318"/>
      <c r="L2" s="318"/>
      <c r="M2" s="318"/>
      <c r="N2" s="318"/>
      <c r="O2" s="318"/>
      <c r="P2" s="318"/>
      <c r="Q2" s="318"/>
      <c r="R2" s="318"/>
      <c r="S2" s="318"/>
    </row>
    <row r="3" spans="1:35" ht="13.15" x14ac:dyDescent="0.4">
      <c r="A3" s="319" t="s">
        <v>398</v>
      </c>
    </row>
    <row r="4" spans="1:35" x14ac:dyDescent="0.35">
      <c r="B4" s="214"/>
      <c r="C4" s="214" t="s">
        <v>399</v>
      </c>
      <c r="D4" s="214"/>
      <c r="E4" s="214"/>
      <c r="F4" s="214"/>
      <c r="G4" s="214"/>
      <c r="H4" s="214"/>
      <c r="O4" s="216" t="s">
        <v>400</v>
      </c>
      <c r="P4" s="216" t="s">
        <v>401</v>
      </c>
    </row>
    <row r="5" spans="1:35" x14ac:dyDescent="0.35">
      <c r="B5" s="214" t="s">
        <v>36</v>
      </c>
      <c r="C5" s="214" t="s">
        <v>402</v>
      </c>
      <c r="D5" s="214" t="s">
        <v>402</v>
      </c>
      <c r="E5" s="214" t="s">
        <v>403</v>
      </c>
      <c r="F5" s="214" t="s">
        <v>404</v>
      </c>
      <c r="G5" s="214"/>
      <c r="H5" s="214" t="s">
        <v>405</v>
      </c>
      <c r="I5" s="214" t="s">
        <v>406</v>
      </c>
      <c r="N5" s="207" t="s">
        <v>407</v>
      </c>
      <c r="O5" t="s">
        <v>408</v>
      </c>
      <c r="P5" s="216" t="s">
        <v>408</v>
      </c>
    </row>
    <row r="6" spans="1:35" x14ac:dyDescent="0.35">
      <c r="B6" s="149" t="s">
        <v>390</v>
      </c>
      <c r="C6" s="149" t="s">
        <v>409</v>
      </c>
      <c r="D6" s="320" t="s">
        <v>410</v>
      </c>
      <c r="E6" s="320" t="s">
        <v>410</v>
      </c>
      <c r="F6" s="149" t="s">
        <v>411</v>
      </c>
      <c r="G6" s="149" t="s">
        <v>412</v>
      </c>
      <c r="H6" s="149" t="s">
        <v>413</v>
      </c>
      <c r="I6" s="149" t="s">
        <v>412</v>
      </c>
      <c r="N6" s="167" t="s">
        <v>414</v>
      </c>
      <c r="O6" s="147" t="s">
        <v>415</v>
      </c>
      <c r="P6" s="147" t="s">
        <v>415</v>
      </c>
    </row>
    <row r="7" spans="1:35" x14ac:dyDescent="0.35">
      <c r="B7" s="149"/>
      <c r="C7" s="149"/>
      <c r="D7" s="320"/>
      <c r="E7" s="320"/>
      <c r="F7" s="320"/>
      <c r="G7" s="320"/>
      <c r="H7" s="149"/>
      <c r="I7" s="167"/>
      <c r="P7" s="149"/>
    </row>
    <row r="8" spans="1:35" x14ac:dyDescent="0.35">
      <c r="A8" s="207" t="s">
        <v>210</v>
      </c>
      <c r="B8" s="36">
        <f>D8+E8</f>
        <v>49162.198806053006</v>
      </c>
      <c r="C8" s="321">
        <f>ROUND(D8/B8,4)</f>
        <v>4.2000000000000003E-2</v>
      </c>
      <c r="D8" s="318">
        <v>2063.256524548457</v>
      </c>
      <c r="E8" s="318">
        <v>47098.942281504547</v>
      </c>
      <c r="F8" s="36">
        <f>E8*1000/G8</f>
        <v>344.59228389704265</v>
      </c>
      <c r="G8" s="36">
        <f>H8+I8</f>
        <v>136680.19999999995</v>
      </c>
      <c r="H8" s="318">
        <v>25970.719999999968</v>
      </c>
      <c r="I8" s="318">
        <v>110709.48</v>
      </c>
      <c r="J8" s="322"/>
      <c r="K8" s="322"/>
      <c r="L8" s="322"/>
      <c r="M8" s="322"/>
      <c r="N8" s="323">
        <f>H8/(O8*5)</f>
        <v>0.70878206761034823</v>
      </c>
      <c r="O8" s="318">
        <v>7328.2666666666664</v>
      </c>
      <c r="P8" s="36">
        <f>E8/O8*1000</f>
        <v>6427.0235273695307</v>
      </c>
      <c r="AE8" s="322"/>
    </row>
    <row r="9" spans="1:35" x14ac:dyDescent="0.35">
      <c r="A9" t="s">
        <v>211</v>
      </c>
      <c r="B9" s="36">
        <f t="shared" ref="B9:B19" si="0">D9+E9</f>
        <v>45381.933912695633</v>
      </c>
      <c r="C9" s="321">
        <f t="shared" ref="C9:C19" si="1">ROUND(D9/B9,4)</f>
        <v>4.1200000000000001E-2</v>
      </c>
      <c r="D9" s="318">
        <v>1869.9025631010659</v>
      </c>
      <c r="E9" s="318">
        <v>43512.031349594567</v>
      </c>
      <c r="F9" s="36">
        <f t="shared" ref="F9:F19" si="2">E9*1000/G9</f>
        <v>329.72240389521448</v>
      </c>
      <c r="G9" s="36">
        <f t="shared" ref="G9:G19" si="3">H9+I9</f>
        <v>131965.65000000017</v>
      </c>
      <c r="H9" s="318">
        <v>25088.100000000057</v>
      </c>
      <c r="I9" s="318">
        <v>106877.5500000001</v>
      </c>
      <c r="J9" s="322"/>
      <c r="N9" s="323">
        <f t="shared" ref="N9:N19" si="4">H9/(O9*5)</f>
        <v>0.71039576391969717</v>
      </c>
      <c r="O9" s="318">
        <v>7063.1333333333341</v>
      </c>
      <c r="P9" s="36">
        <f t="shared" ref="P9:P19" si="5">E9/O9*1000</f>
        <v>6160.4431484036204</v>
      </c>
      <c r="T9" s="322"/>
      <c r="U9" s="322"/>
      <c r="V9" s="322"/>
      <c r="W9" s="322"/>
      <c r="X9" s="322"/>
      <c r="Y9" s="322"/>
      <c r="Z9" s="322"/>
      <c r="AA9" s="322"/>
      <c r="AB9" s="322"/>
      <c r="AC9" s="322"/>
      <c r="AD9" s="322"/>
      <c r="AE9" s="322"/>
      <c r="AF9" s="322"/>
      <c r="AG9" s="322"/>
      <c r="AH9" s="322"/>
      <c r="AI9" s="322"/>
    </row>
    <row r="10" spans="1:35" x14ac:dyDescent="0.35">
      <c r="A10" t="s">
        <v>212</v>
      </c>
      <c r="B10" s="36">
        <f t="shared" si="0"/>
        <v>42291.977870272465</v>
      </c>
      <c r="C10" s="321">
        <f t="shared" si="1"/>
        <v>3.3799999999999997E-2</v>
      </c>
      <c r="D10" s="318">
        <v>1429.7879793994291</v>
      </c>
      <c r="E10" s="318">
        <v>40862.189890873036</v>
      </c>
      <c r="F10" s="36">
        <f t="shared" si="2"/>
        <v>303.23016236988479</v>
      </c>
      <c r="G10" s="36">
        <f t="shared" si="3"/>
        <v>134756.35000000003</v>
      </c>
      <c r="H10" s="318">
        <v>26592.890000000043</v>
      </c>
      <c r="I10" s="318">
        <v>108163.45999999999</v>
      </c>
      <c r="J10" s="322"/>
      <c r="N10" s="323">
        <f t="shared" si="4"/>
        <v>0.70309709828805722</v>
      </c>
      <c r="O10" s="318">
        <v>7564.5</v>
      </c>
      <c r="P10" s="36">
        <f t="shared" si="5"/>
        <v>5401.8361941797921</v>
      </c>
    </row>
    <row r="11" spans="1:35" x14ac:dyDescent="0.35">
      <c r="A11" t="s">
        <v>214</v>
      </c>
      <c r="B11" s="36">
        <f t="shared" si="0"/>
        <v>41685.166972655847</v>
      </c>
      <c r="C11" s="321">
        <f t="shared" si="1"/>
        <v>2.9899999999999999E-2</v>
      </c>
      <c r="D11" s="318">
        <v>1248.2220642515974</v>
      </c>
      <c r="E11" s="318">
        <v>40436.94490840425</v>
      </c>
      <c r="F11" s="36">
        <f t="shared" si="2"/>
        <v>297.23614850172714</v>
      </c>
      <c r="G11" s="36">
        <f t="shared" si="3"/>
        <v>136043.16000000009</v>
      </c>
      <c r="H11" s="318">
        <v>25978.980000000061</v>
      </c>
      <c r="I11" s="318">
        <v>110064.18000000002</v>
      </c>
      <c r="J11" s="322"/>
      <c r="N11" s="323">
        <f t="shared" si="4"/>
        <v>0.71050057888835383</v>
      </c>
      <c r="O11" s="318">
        <v>7312.866666666665</v>
      </c>
      <c r="P11" s="36">
        <f t="shared" si="5"/>
        <v>5529.5613541982066</v>
      </c>
    </row>
    <row r="12" spans="1:35" x14ac:dyDescent="0.35">
      <c r="A12" s="207" t="s">
        <v>17</v>
      </c>
      <c r="B12" s="36">
        <f t="shared" si="0"/>
        <v>41027.300663694725</v>
      </c>
      <c r="C12" s="321">
        <f t="shared" si="1"/>
        <v>2.3699999999999999E-2</v>
      </c>
      <c r="D12" s="318">
        <v>971.13128086692166</v>
      </c>
      <c r="E12" s="318">
        <v>40056.1693828278</v>
      </c>
      <c r="F12" s="36">
        <f t="shared" si="2"/>
        <v>281.44479854064605</v>
      </c>
      <c r="G12" s="36">
        <f t="shared" si="3"/>
        <v>142323.35999999987</v>
      </c>
      <c r="H12" s="318">
        <v>26412.589999999906</v>
      </c>
      <c r="I12" s="318">
        <v>115910.76999999996</v>
      </c>
      <c r="J12" s="322"/>
      <c r="N12" s="323">
        <f t="shared" si="4"/>
        <v>0.72306471629587477</v>
      </c>
      <c r="O12" s="318">
        <v>7305.7333333333318</v>
      </c>
      <c r="P12" s="36">
        <f t="shared" si="5"/>
        <v>5482.8403330937999</v>
      </c>
      <c r="R12" s="318"/>
      <c r="S12" s="318"/>
      <c r="T12" s="318"/>
      <c r="U12" s="318"/>
      <c r="V12" s="318"/>
      <c r="W12" s="318"/>
      <c r="X12" s="318"/>
      <c r="Y12" s="318"/>
    </row>
    <row r="13" spans="1:35" x14ac:dyDescent="0.35">
      <c r="A13" t="s">
        <v>416</v>
      </c>
      <c r="B13" s="36">
        <f t="shared" si="0"/>
        <v>46125.138045980879</v>
      </c>
      <c r="C13" s="321">
        <f t="shared" si="1"/>
        <v>2.2200000000000001E-2</v>
      </c>
      <c r="D13" s="318">
        <v>1022.2066959791247</v>
      </c>
      <c r="E13" s="318">
        <v>45102.931350001752</v>
      </c>
      <c r="F13" s="36">
        <f t="shared" si="2"/>
        <v>283.67909859309833</v>
      </c>
      <c r="G13" s="36">
        <f t="shared" si="3"/>
        <v>158992.78999999992</v>
      </c>
      <c r="H13" s="318">
        <v>25998.990000000093</v>
      </c>
      <c r="I13" s="318">
        <v>132993.79999999981</v>
      </c>
      <c r="J13" s="322"/>
      <c r="N13" s="323">
        <f t="shared" si="4"/>
        <v>0.7358031178509965</v>
      </c>
      <c r="O13" s="318">
        <v>7066.8333333333358</v>
      </c>
      <c r="P13" s="36">
        <f t="shared" si="5"/>
        <v>6382.3397584965078</v>
      </c>
      <c r="R13" s="318"/>
    </row>
    <row r="14" spans="1:35" x14ac:dyDescent="0.35">
      <c r="A14" t="s">
        <v>417</v>
      </c>
      <c r="B14" s="36">
        <f t="shared" si="0"/>
        <v>54561.503298393749</v>
      </c>
      <c r="C14" s="321">
        <f t="shared" si="1"/>
        <v>2.3599999999999999E-2</v>
      </c>
      <c r="D14" s="318">
        <v>1289.9062598101223</v>
      </c>
      <c r="E14" s="318">
        <v>53271.597038583626</v>
      </c>
      <c r="F14" s="36">
        <f t="shared" si="2"/>
        <v>302.05968841769737</v>
      </c>
      <c r="G14" s="36">
        <f t="shared" si="3"/>
        <v>176361.15999999986</v>
      </c>
      <c r="H14" s="318">
        <v>27934.189999999893</v>
      </c>
      <c r="I14" s="318">
        <v>148426.96999999997</v>
      </c>
      <c r="J14" s="322"/>
      <c r="N14" s="323">
        <f t="shared" si="4"/>
        <v>0.73784157143108398</v>
      </c>
      <c r="O14" s="318">
        <v>7571.8666666666686</v>
      </c>
      <c r="P14" s="36">
        <f t="shared" si="5"/>
        <v>7035.4642235182364</v>
      </c>
      <c r="R14" s="318"/>
    </row>
    <row r="15" spans="1:35" x14ac:dyDescent="0.35">
      <c r="A15" t="s">
        <v>418</v>
      </c>
      <c r="B15" s="36">
        <f t="shared" si="0"/>
        <v>52221.795097243063</v>
      </c>
      <c r="C15" s="321">
        <f t="shared" si="1"/>
        <v>2.2599999999999999E-2</v>
      </c>
      <c r="D15" s="318">
        <v>1180.7338526337883</v>
      </c>
      <c r="E15" s="318">
        <v>51041.061244609271</v>
      </c>
      <c r="F15" s="36">
        <f t="shared" si="2"/>
        <v>304.97868088354767</v>
      </c>
      <c r="G15" s="36">
        <f t="shared" si="3"/>
        <v>167359.44000000009</v>
      </c>
      <c r="H15" s="318">
        <v>26865.989999999991</v>
      </c>
      <c r="I15" s="318">
        <v>140493.4500000001</v>
      </c>
      <c r="J15" s="322"/>
      <c r="N15" s="323">
        <f t="shared" si="4"/>
        <v>0.73524876847290599</v>
      </c>
      <c r="O15" s="318">
        <v>7308.0000000000009</v>
      </c>
      <c r="P15" s="36">
        <f t="shared" si="5"/>
        <v>6984.2722009591216</v>
      </c>
      <c r="R15" s="318"/>
    </row>
    <row r="16" spans="1:35" x14ac:dyDescent="0.35">
      <c r="A16" t="s">
        <v>419</v>
      </c>
      <c r="B16" s="36">
        <f t="shared" si="0"/>
        <v>50175.856386516425</v>
      </c>
      <c r="C16" s="321">
        <f t="shared" si="1"/>
        <v>2.1700000000000001E-2</v>
      </c>
      <c r="D16" s="318">
        <v>1089.3148305638713</v>
      </c>
      <c r="E16" s="318">
        <v>49086.541555952557</v>
      </c>
      <c r="F16" s="36">
        <f t="shared" si="2"/>
        <v>323.17105186686427</v>
      </c>
      <c r="G16" s="36">
        <f t="shared" si="3"/>
        <v>151890.28000000006</v>
      </c>
      <c r="H16" s="318">
        <v>26477.580000000016</v>
      </c>
      <c r="I16" s="318">
        <v>125412.70000000004</v>
      </c>
      <c r="J16" s="322"/>
      <c r="N16" s="323">
        <f t="shared" si="4"/>
        <v>0.72391243723058141</v>
      </c>
      <c r="O16" s="318">
        <v>7315.1333333333369</v>
      </c>
      <c r="P16" s="36">
        <f t="shared" si="5"/>
        <v>6710.2729805725849</v>
      </c>
      <c r="R16" s="318"/>
    </row>
    <row r="17" spans="1:24" x14ac:dyDescent="0.35">
      <c r="A17" t="s">
        <v>207</v>
      </c>
      <c r="B17" s="36">
        <f t="shared" si="0"/>
        <v>44750.79651721476</v>
      </c>
      <c r="C17" s="321">
        <f t="shared" si="1"/>
        <v>2.18E-2</v>
      </c>
      <c r="D17" s="318">
        <v>973.44554246087762</v>
      </c>
      <c r="E17" s="318">
        <v>43777.350974753885</v>
      </c>
      <c r="F17" s="36">
        <f t="shared" si="2"/>
        <v>298.71191269246924</v>
      </c>
      <c r="G17" s="36">
        <f t="shared" si="3"/>
        <v>146553.74999999974</v>
      </c>
      <c r="H17" s="318">
        <v>27003.929999999928</v>
      </c>
      <c r="I17" s="318">
        <v>119549.8199999998</v>
      </c>
      <c r="J17" s="322"/>
      <c r="N17" s="323">
        <f t="shared" si="4"/>
        <v>0.71627511571464408</v>
      </c>
      <c r="O17" s="318">
        <v>7540.0999999999967</v>
      </c>
      <c r="P17" s="36">
        <f t="shared" si="5"/>
        <v>5805.9377163106465</v>
      </c>
      <c r="R17" s="318"/>
    </row>
    <row r="18" spans="1:24" x14ac:dyDescent="0.35">
      <c r="A18" t="s">
        <v>208</v>
      </c>
      <c r="B18" s="36">
        <f t="shared" si="0"/>
        <v>39177.498234177685</v>
      </c>
      <c r="C18" s="321">
        <f t="shared" si="1"/>
        <v>2.64E-2</v>
      </c>
      <c r="D18" s="318">
        <v>1033.2758376272502</v>
      </c>
      <c r="E18" s="318">
        <v>38144.222396550438</v>
      </c>
      <c r="F18" s="36">
        <f t="shared" si="2"/>
        <v>285.33824770356068</v>
      </c>
      <c r="G18" s="36">
        <f t="shared" si="3"/>
        <v>133680.72000000035</v>
      </c>
      <c r="H18" s="318">
        <v>24144.620000000035</v>
      </c>
      <c r="I18" s="318">
        <v>109536.10000000033</v>
      </c>
      <c r="J18" s="322"/>
      <c r="N18" s="323">
        <f t="shared" si="4"/>
        <v>0.71666668315680759</v>
      </c>
      <c r="O18" s="318">
        <v>6738.0333333333319</v>
      </c>
      <c r="P18" s="36">
        <f t="shared" si="5"/>
        <v>5661.0320117962883</v>
      </c>
      <c r="R18" s="318"/>
    </row>
    <row r="19" spans="1:24" x14ac:dyDescent="0.35">
      <c r="A19" t="s">
        <v>209</v>
      </c>
      <c r="B19" s="36">
        <f t="shared" si="0"/>
        <v>46675.018480207058</v>
      </c>
      <c r="C19" s="321">
        <f t="shared" si="1"/>
        <v>3.7499999999999999E-2</v>
      </c>
      <c r="D19" s="318">
        <v>1748.7590551124222</v>
      </c>
      <c r="E19" s="318">
        <v>44926.259425094635</v>
      </c>
      <c r="F19" s="36">
        <f t="shared" si="2"/>
        <v>319.37176571909862</v>
      </c>
      <c r="G19" s="36">
        <f t="shared" si="3"/>
        <v>140670.73000000019</v>
      </c>
      <c r="H19" s="318">
        <v>26843.780000000021</v>
      </c>
      <c r="I19" s="318">
        <v>113826.95000000016</v>
      </c>
      <c r="J19" s="322"/>
      <c r="N19" s="323">
        <f t="shared" si="4"/>
        <v>0.7107451977176753</v>
      </c>
      <c r="O19" s="318">
        <v>7553.7000000000007</v>
      </c>
      <c r="P19" s="36">
        <f t="shared" si="5"/>
        <v>5947.583227437498</v>
      </c>
      <c r="R19" s="318"/>
    </row>
    <row r="20" spans="1:24" x14ac:dyDescent="0.35">
      <c r="H20" s="322"/>
      <c r="I20" s="322"/>
      <c r="J20" s="322"/>
      <c r="N20" s="324"/>
      <c r="O20" s="322"/>
    </row>
    <row r="21" spans="1:24" x14ac:dyDescent="0.35">
      <c r="A21" t="s">
        <v>36</v>
      </c>
      <c r="B21" s="322">
        <f>SUM(B8:B19)</f>
        <v>553236.18428510532</v>
      </c>
      <c r="D21" s="322">
        <f>SUM(D8:D19)</f>
        <v>15919.942486354928</v>
      </c>
      <c r="E21" s="322">
        <f>SUM(E8:E19)</f>
        <v>537316.24179875036</v>
      </c>
      <c r="F21" s="322"/>
      <c r="G21" s="322">
        <f>SUM(G8:G19)</f>
        <v>1757277.5900000005</v>
      </c>
      <c r="H21" s="322">
        <f>SUM(H8:H19)</f>
        <v>315312.36000000004</v>
      </c>
      <c r="I21" s="322">
        <f>SUM(I8:I19)</f>
        <v>1441965.2300000004</v>
      </c>
      <c r="J21" s="322"/>
    </row>
    <row r="22" spans="1:24" x14ac:dyDescent="0.35">
      <c r="D22" s="321">
        <f>ROUND(D21/B21,3)</f>
        <v>2.9000000000000001E-2</v>
      </c>
      <c r="E22" s="321">
        <f>ROUND(E21/B21,3)</f>
        <v>0.97099999999999997</v>
      </c>
      <c r="H22" s="322"/>
      <c r="I22" s="322"/>
      <c r="J22" s="322"/>
    </row>
    <row r="23" spans="1:24" x14ac:dyDescent="0.35">
      <c r="F23" s="321"/>
      <c r="G23" s="321"/>
      <c r="H23" s="322"/>
      <c r="I23" s="322"/>
      <c r="J23" s="322"/>
    </row>
    <row r="24" spans="1:24" x14ac:dyDescent="0.35">
      <c r="A24" t="s">
        <v>69</v>
      </c>
      <c r="B24" s="322">
        <f>SUM(B13:B16)</f>
        <v>203084.29282813412</v>
      </c>
      <c r="D24" s="322">
        <f>SUM(D13:D16)</f>
        <v>4582.1616389869068</v>
      </c>
      <c r="E24" s="322">
        <f>SUM(E13:E16)</f>
        <v>198502.13118914719</v>
      </c>
      <c r="G24" s="322">
        <f>SUM(G13:G16)</f>
        <v>654603.66999999993</v>
      </c>
      <c r="H24" s="322">
        <f>SUM(H13:H16)</f>
        <v>107276.75</v>
      </c>
      <c r="I24" s="322">
        <f>SUM(I13:I16)</f>
        <v>547326.91999999993</v>
      </c>
      <c r="J24" s="322"/>
    </row>
    <row r="25" spans="1:24" x14ac:dyDescent="0.35">
      <c r="A25" t="s">
        <v>62</v>
      </c>
      <c r="B25" s="322">
        <f>SUM(B8:B12)+SUM(B17:B19)</f>
        <v>350151.89145697124</v>
      </c>
      <c r="D25" s="322">
        <f>SUM(D8:D12)+SUM(D17:D19)</f>
        <v>11337.780847368022</v>
      </c>
      <c r="E25" s="322">
        <f>SUM(E8:E12)+SUM(E17:E19)</f>
        <v>338814.11060960311</v>
      </c>
      <c r="G25" s="322">
        <f>SUM(G8:G12)+SUM(G17:G19)</f>
        <v>1102673.9200000004</v>
      </c>
      <c r="H25" s="322">
        <f>SUM(H8:H12)+SUM(H17:H19)</f>
        <v>208035.61000000002</v>
      </c>
      <c r="I25" s="322">
        <f>SUM(I8:I12)+SUM(I17:I19)</f>
        <v>894638.31000000052</v>
      </c>
      <c r="J25" s="322"/>
      <c r="N25" s="325"/>
      <c r="O25" s="325"/>
      <c r="P25" s="325"/>
      <c r="Q25" s="325"/>
      <c r="R25" s="325"/>
      <c r="S25" s="325"/>
      <c r="T25" s="325"/>
      <c r="U25" s="325"/>
      <c r="V25" s="325"/>
      <c r="W25" s="325"/>
      <c r="X25" s="325"/>
    </row>
    <row r="26" spans="1:24" x14ac:dyDescent="0.35">
      <c r="B26" s="322"/>
      <c r="D26" s="322"/>
      <c r="E26" s="322"/>
      <c r="G26" s="322"/>
      <c r="H26" s="322"/>
      <c r="I26" s="322"/>
      <c r="J26" s="322"/>
      <c r="N26" s="325"/>
      <c r="O26" s="325"/>
      <c r="P26" s="325"/>
      <c r="Q26" s="325"/>
      <c r="R26" s="325"/>
      <c r="S26" s="325"/>
      <c r="T26" s="325"/>
      <c r="U26" s="325"/>
      <c r="V26" s="325"/>
      <c r="W26" s="325"/>
      <c r="X26" s="325"/>
    </row>
    <row r="27" spans="1:24" x14ac:dyDescent="0.35">
      <c r="B27" s="322"/>
      <c r="D27" s="322"/>
      <c r="E27" s="322"/>
      <c r="G27" s="322"/>
      <c r="H27" s="322"/>
      <c r="I27" s="322"/>
      <c r="J27" s="322"/>
      <c r="N27" s="325"/>
      <c r="O27" s="325"/>
      <c r="P27" s="325"/>
      <c r="Q27" s="325"/>
      <c r="R27" s="325"/>
      <c r="S27" s="325"/>
      <c r="T27" s="325"/>
      <c r="U27" s="325"/>
      <c r="V27" s="325"/>
      <c r="W27" s="325"/>
      <c r="X27" s="325"/>
    </row>
    <row r="28" spans="1:24" ht="13.15" x14ac:dyDescent="0.4">
      <c r="A28" s="319" t="s">
        <v>420</v>
      </c>
      <c r="Q28" s="325"/>
      <c r="R28" s="325"/>
      <c r="S28" s="325"/>
      <c r="T28" s="325"/>
      <c r="U28" s="325"/>
      <c r="V28" s="325"/>
      <c r="W28" s="325"/>
      <c r="X28" s="325"/>
    </row>
    <row r="29" spans="1:24" ht="13.15" x14ac:dyDescent="0.4">
      <c r="A29" s="319"/>
      <c r="Q29" s="325"/>
      <c r="R29" s="325"/>
      <c r="S29" s="325"/>
      <c r="T29" s="325"/>
      <c r="U29" s="325"/>
      <c r="V29" s="325"/>
      <c r="W29" s="325"/>
      <c r="X29" s="325"/>
    </row>
    <row r="30" spans="1:24" x14ac:dyDescent="0.35">
      <c r="B30" s="214"/>
      <c r="C30" s="214" t="s">
        <v>399</v>
      </c>
      <c r="D30" s="214"/>
      <c r="E30" s="214"/>
      <c r="F30" s="214"/>
      <c r="G30" s="214"/>
      <c r="H30" s="214"/>
      <c r="O30" s="216" t="s">
        <v>400</v>
      </c>
      <c r="P30" s="216" t="s">
        <v>401</v>
      </c>
      <c r="Q30" s="325"/>
      <c r="R30" s="325"/>
      <c r="S30" s="325"/>
      <c r="T30" s="325"/>
      <c r="U30" s="325"/>
      <c r="V30" s="325"/>
      <c r="W30" s="325"/>
      <c r="X30" s="325"/>
    </row>
    <row r="31" spans="1:24" x14ac:dyDescent="0.35">
      <c r="B31" s="214" t="s">
        <v>36</v>
      </c>
      <c r="C31" s="214" t="s">
        <v>402</v>
      </c>
      <c r="D31" s="214" t="s">
        <v>402</v>
      </c>
      <c r="E31" s="214" t="s">
        <v>403</v>
      </c>
      <c r="F31" s="214" t="s">
        <v>404</v>
      </c>
      <c r="G31" s="214"/>
      <c r="H31" s="214" t="s">
        <v>405</v>
      </c>
      <c r="I31" s="214" t="s">
        <v>406</v>
      </c>
      <c r="K31" s="214"/>
      <c r="N31" s="207" t="s">
        <v>407</v>
      </c>
      <c r="O31" t="s">
        <v>408</v>
      </c>
      <c r="P31" s="216" t="s">
        <v>408</v>
      </c>
      <c r="Q31" s="325"/>
      <c r="R31" s="325"/>
      <c r="S31" s="325"/>
      <c r="T31" s="325"/>
      <c r="U31" s="325"/>
      <c r="V31" s="325"/>
      <c r="W31" s="325"/>
      <c r="X31" s="325"/>
    </row>
    <row r="32" spans="1:24" x14ac:dyDescent="0.35">
      <c r="B32" s="149" t="s">
        <v>390</v>
      </c>
      <c r="C32" s="149" t="s">
        <v>409</v>
      </c>
      <c r="D32" s="320" t="s">
        <v>410</v>
      </c>
      <c r="E32" s="320" t="s">
        <v>410</v>
      </c>
      <c r="F32" s="149" t="s">
        <v>411</v>
      </c>
      <c r="G32" s="149" t="s">
        <v>412</v>
      </c>
      <c r="H32" s="149" t="s">
        <v>413</v>
      </c>
      <c r="I32" s="149" t="s">
        <v>412</v>
      </c>
      <c r="K32" s="149"/>
      <c r="N32" s="147" t="s">
        <v>414</v>
      </c>
      <c r="O32" s="147" t="s">
        <v>415</v>
      </c>
      <c r="P32" s="147" t="s">
        <v>415</v>
      </c>
      <c r="Q32" s="325"/>
      <c r="R32" s="325"/>
      <c r="S32" s="325"/>
      <c r="T32" s="325"/>
      <c r="U32" s="325"/>
      <c r="V32" s="325"/>
      <c r="W32" s="325"/>
      <c r="X32" s="325"/>
    </row>
    <row r="33" spans="1:24" x14ac:dyDescent="0.35">
      <c r="B33" s="149"/>
      <c r="C33" s="149"/>
      <c r="D33" s="320"/>
      <c r="E33" s="320"/>
      <c r="F33" s="320"/>
      <c r="G33" s="320"/>
      <c r="H33" s="149"/>
      <c r="I33" s="167"/>
      <c r="Q33" s="325"/>
      <c r="R33" s="325"/>
      <c r="S33" s="325"/>
      <c r="T33" s="325"/>
      <c r="U33" s="325"/>
      <c r="V33" s="325"/>
      <c r="W33" s="325"/>
      <c r="X33" s="325"/>
    </row>
    <row r="34" spans="1:24" x14ac:dyDescent="0.35">
      <c r="A34" t="s">
        <v>210</v>
      </c>
      <c r="B34" s="325">
        <v>34797.560621398428</v>
      </c>
      <c r="C34" s="321">
        <f>C8</f>
        <v>4.2000000000000003E-2</v>
      </c>
      <c r="D34" s="36">
        <f t="shared" ref="D34:D45" si="6">ROUND(B34*C8,0)</f>
        <v>1461</v>
      </c>
      <c r="E34" s="36">
        <f>B34-D34</f>
        <v>33336.560621398428</v>
      </c>
      <c r="F34" s="36">
        <f>F8</f>
        <v>344.59228389704265</v>
      </c>
      <c r="G34" s="36">
        <f>ROUND(E34*1000/F34,0)</f>
        <v>96742</v>
      </c>
      <c r="H34" s="36">
        <f>O34*5*N34</f>
        <v>18382.036617441143</v>
      </c>
      <c r="I34" s="36">
        <f>G34-H34</f>
        <v>78359.963382558853</v>
      </c>
      <c r="K34" s="326"/>
      <c r="L34" s="322"/>
      <c r="M34" s="322"/>
      <c r="N34" s="323">
        <f>N8</f>
        <v>0.70878206761034823</v>
      </c>
      <c r="O34" s="36">
        <f>E34/P34*1000</f>
        <v>5186.9361422802358</v>
      </c>
      <c r="P34" s="36">
        <f>P8</f>
        <v>6427.0235273695307</v>
      </c>
      <c r="Q34" s="325"/>
      <c r="R34" s="325"/>
      <c r="S34" s="325"/>
      <c r="T34" s="325"/>
      <c r="U34" s="325"/>
      <c r="V34" s="325"/>
      <c r="W34" s="325"/>
      <c r="X34" s="325"/>
    </row>
    <row r="35" spans="1:24" x14ac:dyDescent="0.35">
      <c r="A35" t="s">
        <v>211</v>
      </c>
      <c r="B35" s="325">
        <v>36496.642659026955</v>
      </c>
      <c r="C35" s="321">
        <f t="shared" ref="C35:C45" si="7">C9</f>
        <v>4.1200000000000001E-2</v>
      </c>
      <c r="D35" s="36">
        <f t="shared" si="6"/>
        <v>1504</v>
      </c>
      <c r="E35" s="36">
        <f t="shared" ref="E35:E45" si="8">B35-D35</f>
        <v>34992.642659026955</v>
      </c>
      <c r="F35" s="36">
        <f t="shared" ref="F35:F45" si="9">F9</f>
        <v>329.72240389521448</v>
      </c>
      <c r="G35" s="36">
        <f t="shared" ref="G35:G45" si="10">ROUND(E35*1000/F35,0)</f>
        <v>106128</v>
      </c>
      <c r="H35" s="36">
        <f t="shared" ref="H35:H45" si="11">O35*5*N35</f>
        <v>20176.003993941693</v>
      </c>
      <c r="I35" s="36">
        <f t="shared" ref="I35:I45" si="12">G35-H35</f>
        <v>85951.996006058311</v>
      </c>
      <c r="J35" s="322"/>
      <c r="K35" s="326"/>
      <c r="N35" s="323">
        <f t="shared" ref="N35:N45" si="13">N9</f>
        <v>0.71039576391969717</v>
      </c>
      <c r="O35" s="36">
        <f t="shared" ref="O35:O45" si="14">E35/P35*1000</f>
        <v>5680.2151754447623</v>
      </c>
      <c r="P35" s="36">
        <f t="shared" ref="P35:P45" si="15">P9</f>
        <v>6160.4431484036204</v>
      </c>
      <c r="Q35" s="325"/>
      <c r="R35" s="325"/>
      <c r="S35" s="325"/>
      <c r="T35" s="325"/>
      <c r="U35" s="325"/>
      <c r="V35" s="325"/>
      <c r="W35" s="325"/>
      <c r="X35" s="325"/>
    </row>
    <row r="36" spans="1:24" x14ac:dyDescent="0.35">
      <c r="A36" t="s">
        <v>212</v>
      </c>
      <c r="B36" s="325">
        <v>32909.965271151224</v>
      </c>
      <c r="C36" s="321">
        <f t="shared" si="7"/>
        <v>3.3799999999999997E-2</v>
      </c>
      <c r="D36" s="36">
        <f t="shared" si="6"/>
        <v>1112</v>
      </c>
      <c r="E36" s="36">
        <f t="shared" si="8"/>
        <v>31797.965271151224</v>
      </c>
      <c r="F36" s="36">
        <f t="shared" si="9"/>
        <v>303.23016236988479</v>
      </c>
      <c r="G36" s="36">
        <f t="shared" si="10"/>
        <v>104864</v>
      </c>
      <c r="H36" s="36">
        <f t="shared" si="11"/>
        <v>20693.942124438585</v>
      </c>
      <c r="I36" s="36">
        <f t="shared" si="12"/>
        <v>84170.057875561411</v>
      </c>
      <c r="J36" s="322"/>
      <c r="K36" s="326"/>
      <c r="N36" s="323">
        <f t="shared" si="13"/>
        <v>0.70309709828805722</v>
      </c>
      <c r="O36" s="36">
        <f t="shared" si="14"/>
        <v>5886.5104620188113</v>
      </c>
      <c r="P36" s="36">
        <f t="shared" si="15"/>
        <v>5401.8361941797921</v>
      </c>
      <c r="Q36" s="325"/>
      <c r="R36" s="325"/>
      <c r="S36" s="325"/>
      <c r="T36" s="325"/>
      <c r="U36" s="325"/>
      <c r="V36" s="325"/>
      <c r="W36" s="325"/>
      <c r="X36" s="325"/>
    </row>
    <row r="37" spans="1:24" x14ac:dyDescent="0.35">
      <c r="A37" t="s">
        <v>214</v>
      </c>
      <c r="B37" s="325">
        <v>29251.739897350839</v>
      </c>
      <c r="C37" s="321">
        <f t="shared" si="7"/>
        <v>2.9899999999999999E-2</v>
      </c>
      <c r="D37" s="36">
        <f t="shared" si="6"/>
        <v>875</v>
      </c>
      <c r="E37" s="36">
        <f t="shared" si="8"/>
        <v>28376.739897350839</v>
      </c>
      <c r="F37" s="36">
        <f t="shared" si="9"/>
        <v>297.23614850172714</v>
      </c>
      <c r="G37" s="36">
        <f t="shared" si="10"/>
        <v>95469</v>
      </c>
      <c r="H37" s="36">
        <f t="shared" si="11"/>
        <v>18230.822331616473</v>
      </c>
      <c r="I37" s="36">
        <f t="shared" si="12"/>
        <v>77238.17766838352</v>
      </c>
      <c r="J37" s="322"/>
      <c r="K37" s="326"/>
      <c r="N37" s="323">
        <f t="shared" si="13"/>
        <v>0.71050057888835383</v>
      </c>
      <c r="O37" s="36">
        <f t="shared" si="14"/>
        <v>5131.8247650523635</v>
      </c>
      <c r="P37" s="36">
        <f t="shared" si="15"/>
        <v>5529.5613541982066</v>
      </c>
      <c r="Q37" s="325"/>
      <c r="R37" s="325"/>
      <c r="S37" s="325"/>
      <c r="T37" s="325"/>
      <c r="U37" s="325"/>
      <c r="V37" s="325"/>
      <c r="W37" s="325"/>
      <c r="X37" s="325"/>
    </row>
    <row r="38" spans="1:24" x14ac:dyDescent="0.35">
      <c r="A38" t="s">
        <v>17</v>
      </c>
      <c r="B38" s="325">
        <v>31659.675312972409</v>
      </c>
      <c r="C38" s="321">
        <f t="shared" si="7"/>
        <v>2.3699999999999999E-2</v>
      </c>
      <c r="D38" s="36">
        <f t="shared" si="6"/>
        <v>750</v>
      </c>
      <c r="E38" s="36">
        <f t="shared" si="8"/>
        <v>30909.675312972409</v>
      </c>
      <c r="F38" s="36">
        <f t="shared" si="9"/>
        <v>281.44479854064605</v>
      </c>
      <c r="G38" s="36">
        <f t="shared" si="10"/>
        <v>109825</v>
      </c>
      <c r="H38" s="36">
        <f t="shared" si="11"/>
        <v>20381.494128209226</v>
      </c>
      <c r="I38" s="36">
        <f t="shared" si="12"/>
        <v>89443.505871790781</v>
      </c>
      <c r="J38" s="322"/>
      <c r="K38" s="326"/>
      <c r="N38" s="323">
        <f t="shared" si="13"/>
        <v>0.72306471629587477</v>
      </c>
      <c r="O38" s="36">
        <f t="shared" si="14"/>
        <v>5637.5297172899836</v>
      </c>
      <c r="P38" s="36">
        <f t="shared" si="15"/>
        <v>5482.8403330937999</v>
      </c>
      <c r="Q38" s="325"/>
      <c r="R38" s="325"/>
      <c r="S38" s="325"/>
      <c r="T38" s="325"/>
      <c r="U38" s="325"/>
      <c r="V38" s="325"/>
      <c r="W38" s="325"/>
      <c r="X38" s="325"/>
    </row>
    <row r="39" spans="1:24" x14ac:dyDescent="0.35">
      <c r="A39" t="s">
        <v>416</v>
      </c>
      <c r="B39" s="325">
        <v>33301.036295696416</v>
      </c>
      <c r="C39" s="321">
        <f t="shared" si="7"/>
        <v>2.2200000000000001E-2</v>
      </c>
      <c r="D39" s="36">
        <f t="shared" si="6"/>
        <v>739</v>
      </c>
      <c r="E39" s="36">
        <f t="shared" si="8"/>
        <v>32562.036295696416</v>
      </c>
      <c r="F39" s="36">
        <f t="shared" si="9"/>
        <v>283.67909859309833</v>
      </c>
      <c r="G39" s="36">
        <f t="shared" si="10"/>
        <v>114785</v>
      </c>
      <c r="H39" s="36">
        <f t="shared" si="11"/>
        <v>18769.956423939133</v>
      </c>
      <c r="I39" s="36">
        <f t="shared" si="12"/>
        <v>96015.043576060867</v>
      </c>
      <c r="J39" s="322"/>
      <c r="K39" s="326"/>
      <c r="N39" s="323">
        <f t="shared" si="13"/>
        <v>0.7358031178509965</v>
      </c>
      <c r="O39" s="36">
        <f t="shared" si="14"/>
        <v>5101.8964091261532</v>
      </c>
      <c r="P39" s="36">
        <f t="shared" si="15"/>
        <v>6382.3397584965078</v>
      </c>
      <c r="Q39" s="325"/>
      <c r="R39" s="325"/>
      <c r="S39" s="325"/>
      <c r="T39" s="325"/>
      <c r="U39" s="325"/>
      <c r="V39" s="325"/>
      <c r="W39" s="325"/>
      <c r="X39" s="325"/>
    </row>
    <row r="40" spans="1:24" x14ac:dyDescent="0.35">
      <c r="A40" t="s">
        <v>417</v>
      </c>
      <c r="B40" s="325">
        <v>39433.423004603595</v>
      </c>
      <c r="C40" s="321">
        <f t="shared" si="7"/>
        <v>2.3599999999999999E-2</v>
      </c>
      <c r="D40" s="36">
        <f t="shared" si="6"/>
        <v>931</v>
      </c>
      <c r="E40" s="36">
        <f t="shared" si="8"/>
        <v>38502.423004603595</v>
      </c>
      <c r="F40" s="36">
        <f t="shared" si="9"/>
        <v>302.05968841769737</v>
      </c>
      <c r="G40" s="36">
        <f t="shared" si="10"/>
        <v>127466</v>
      </c>
      <c r="H40" s="36">
        <f t="shared" si="11"/>
        <v>20189.633115222245</v>
      </c>
      <c r="I40" s="36">
        <f t="shared" si="12"/>
        <v>107276.36688477776</v>
      </c>
      <c r="J40" s="322"/>
      <c r="K40" s="326"/>
      <c r="N40" s="323">
        <f t="shared" si="13"/>
        <v>0.73784157143108398</v>
      </c>
      <c r="O40" s="36">
        <f t="shared" si="14"/>
        <v>5472.6201116761022</v>
      </c>
      <c r="P40" s="36">
        <f t="shared" si="15"/>
        <v>7035.4642235182364</v>
      </c>
      <c r="Q40" s="325"/>
      <c r="R40" s="325"/>
      <c r="S40" s="325"/>
      <c r="T40" s="325"/>
      <c r="U40" s="325"/>
      <c r="V40" s="325"/>
      <c r="W40" s="325"/>
      <c r="X40" s="325"/>
    </row>
    <row r="41" spans="1:24" x14ac:dyDescent="0.35">
      <c r="A41" t="s">
        <v>418</v>
      </c>
      <c r="B41" s="325">
        <v>42275.360558510925</v>
      </c>
      <c r="C41" s="321">
        <f t="shared" si="7"/>
        <v>2.2599999999999999E-2</v>
      </c>
      <c r="D41" s="36">
        <f t="shared" si="6"/>
        <v>955</v>
      </c>
      <c r="E41" s="36">
        <f t="shared" si="8"/>
        <v>41320.360558510925</v>
      </c>
      <c r="F41" s="36">
        <f t="shared" si="9"/>
        <v>304.97868088354767</v>
      </c>
      <c r="G41" s="36">
        <f t="shared" si="10"/>
        <v>135486</v>
      </c>
      <c r="H41" s="36">
        <f t="shared" si="11"/>
        <v>21749.398748612297</v>
      </c>
      <c r="I41" s="36">
        <f t="shared" si="12"/>
        <v>113736.60125138771</v>
      </c>
      <c r="J41" s="322"/>
      <c r="K41" s="326"/>
      <c r="N41" s="323">
        <f t="shared" si="13"/>
        <v>0.73524876847290599</v>
      </c>
      <c r="O41" s="36">
        <f t="shared" si="14"/>
        <v>5916.2013406116339</v>
      </c>
      <c r="P41" s="36">
        <f t="shared" si="15"/>
        <v>6984.2722009591216</v>
      </c>
      <c r="Q41" s="325"/>
      <c r="R41" s="325"/>
      <c r="S41" s="325"/>
      <c r="T41" s="325"/>
      <c r="U41" s="325"/>
      <c r="V41" s="325"/>
      <c r="W41" s="325"/>
      <c r="X41" s="325"/>
    </row>
    <row r="42" spans="1:24" x14ac:dyDescent="0.35">
      <c r="A42" t="s">
        <v>419</v>
      </c>
      <c r="B42" s="325">
        <v>39745.139269332671</v>
      </c>
      <c r="C42" s="321">
        <f t="shared" si="7"/>
        <v>2.1700000000000001E-2</v>
      </c>
      <c r="D42" s="36">
        <f t="shared" si="6"/>
        <v>862</v>
      </c>
      <c r="E42" s="36">
        <f t="shared" si="8"/>
        <v>38883.139269332671</v>
      </c>
      <c r="F42" s="36">
        <f t="shared" si="9"/>
        <v>323.17105186686427</v>
      </c>
      <c r="G42" s="36">
        <f t="shared" si="10"/>
        <v>120318</v>
      </c>
      <c r="H42" s="36">
        <f t="shared" si="11"/>
        <v>20973.802554033271</v>
      </c>
      <c r="I42" s="36">
        <f t="shared" si="12"/>
        <v>99344.197445966725</v>
      </c>
      <c r="J42" s="322"/>
      <c r="K42" s="326"/>
      <c r="N42" s="323">
        <f t="shared" si="13"/>
        <v>0.72391243723058141</v>
      </c>
      <c r="O42" s="36">
        <f t="shared" si="14"/>
        <v>5794.5689216975479</v>
      </c>
      <c r="P42" s="36">
        <f t="shared" si="15"/>
        <v>6710.2729805725849</v>
      </c>
      <c r="Q42" s="325"/>
      <c r="R42" s="325"/>
      <c r="S42" s="325"/>
      <c r="T42" s="325"/>
      <c r="U42" s="325"/>
      <c r="V42" s="325"/>
      <c r="W42" s="325"/>
      <c r="X42" s="325"/>
    </row>
    <row r="43" spans="1:24" x14ac:dyDescent="0.35">
      <c r="A43" t="s">
        <v>207</v>
      </c>
      <c r="B43" s="325">
        <v>37142.207474808238</v>
      </c>
      <c r="C43" s="321">
        <f t="shared" si="7"/>
        <v>2.18E-2</v>
      </c>
      <c r="D43" s="36">
        <f t="shared" si="6"/>
        <v>810</v>
      </c>
      <c r="E43" s="36">
        <f t="shared" si="8"/>
        <v>36332.207474808238</v>
      </c>
      <c r="F43" s="36">
        <f t="shared" si="9"/>
        <v>298.71191269246924</v>
      </c>
      <c r="G43" s="36">
        <f t="shared" si="10"/>
        <v>121630</v>
      </c>
      <c r="H43" s="36">
        <f t="shared" si="11"/>
        <v>22411.415162169062</v>
      </c>
      <c r="I43" s="36">
        <f t="shared" si="12"/>
        <v>99218.584837830946</v>
      </c>
      <c r="J43" s="322"/>
      <c r="K43" s="326"/>
      <c r="N43" s="323">
        <f t="shared" si="13"/>
        <v>0.71627511571464408</v>
      </c>
      <c r="O43" s="36">
        <f t="shared" si="14"/>
        <v>6257.7673495773142</v>
      </c>
      <c r="P43" s="36">
        <f t="shared" si="15"/>
        <v>5805.9377163106465</v>
      </c>
      <c r="Q43" s="325"/>
      <c r="R43" s="325"/>
      <c r="S43" s="325"/>
      <c r="T43" s="325"/>
      <c r="U43" s="325"/>
      <c r="V43" s="325"/>
      <c r="W43" s="325"/>
      <c r="X43" s="325"/>
    </row>
    <row r="44" spans="1:24" x14ac:dyDescent="0.35">
      <c r="A44" t="s">
        <v>208</v>
      </c>
      <c r="B44" s="325">
        <v>29869.781904008894</v>
      </c>
      <c r="C44" s="321">
        <f t="shared" si="7"/>
        <v>2.64E-2</v>
      </c>
      <c r="D44" s="36">
        <f t="shared" si="6"/>
        <v>789</v>
      </c>
      <c r="E44" s="36">
        <f t="shared" si="8"/>
        <v>29080.781904008894</v>
      </c>
      <c r="F44" s="36">
        <f t="shared" si="9"/>
        <v>285.33824770356068</v>
      </c>
      <c r="G44" s="36">
        <f t="shared" si="10"/>
        <v>101917</v>
      </c>
      <c r="H44" s="36">
        <f t="shared" si="11"/>
        <v>18407.622026623631</v>
      </c>
      <c r="I44" s="36">
        <f t="shared" si="12"/>
        <v>83509.377973376366</v>
      </c>
      <c r="J44" s="322"/>
      <c r="K44" s="326"/>
      <c r="N44" s="323">
        <f t="shared" si="13"/>
        <v>0.71666668315680759</v>
      </c>
      <c r="O44" s="36">
        <f t="shared" si="14"/>
        <v>5137.0106799274827</v>
      </c>
      <c r="P44" s="36">
        <f t="shared" si="15"/>
        <v>5661.0320117962883</v>
      </c>
      <c r="Q44" s="325"/>
      <c r="R44" s="325"/>
      <c r="S44" s="325"/>
      <c r="T44" s="325"/>
      <c r="U44" s="325"/>
      <c r="V44" s="325"/>
      <c r="W44" s="325"/>
      <c r="X44" s="325"/>
    </row>
    <row r="45" spans="1:24" x14ac:dyDescent="0.35">
      <c r="A45" t="s">
        <v>209</v>
      </c>
      <c r="B45" s="325">
        <v>32676.350761355548</v>
      </c>
      <c r="C45" s="321">
        <f t="shared" si="7"/>
        <v>3.7499999999999999E-2</v>
      </c>
      <c r="D45" s="36">
        <f t="shared" si="6"/>
        <v>1225</v>
      </c>
      <c r="E45" s="36">
        <f t="shared" si="8"/>
        <v>31451.350761355548</v>
      </c>
      <c r="F45" s="36">
        <f t="shared" si="9"/>
        <v>319.37176571909862</v>
      </c>
      <c r="G45" s="36">
        <f t="shared" si="10"/>
        <v>98479</v>
      </c>
      <c r="H45" s="36">
        <f t="shared" si="11"/>
        <v>18792.420097834201</v>
      </c>
      <c r="I45" s="36">
        <f t="shared" si="12"/>
        <v>79686.579902165802</v>
      </c>
      <c r="J45" s="322"/>
      <c r="K45" s="326"/>
      <c r="N45" s="323">
        <f t="shared" si="13"/>
        <v>0.7107451977176753</v>
      </c>
      <c r="O45" s="36">
        <f t="shared" si="14"/>
        <v>5288.0892218983354</v>
      </c>
      <c r="P45" s="36">
        <f t="shared" si="15"/>
        <v>5947.583227437498</v>
      </c>
      <c r="Q45" s="325"/>
      <c r="R45" s="325"/>
      <c r="S45" s="325"/>
      <c r="T45" s="325"/>
      <c r="U45" s="325"/>
      <c r="V45" s="325"/>
      <c r="W45" s="325"/>
      <c r="X45" s="325"/>
    </row>
    <row r="46" spans="1:24" x14ac:dyDescent="0.35">
      <c r="H46" s="322"/>
      <c r="I46" s="322"/>
      <c r="J46" s="322"/>
      <c r="N46" s="324"/>
      <c r="O46" s="322"/>
      <c r="Q46" s="325"/>
      <c r="R46" s="325"/>
      <c r="S46" s="325"/>
      <c r="T46" s="325"/>
      <c r="U46" s="325"/>
      <c r="V46" s="325"/>
      <c r="W46" s="325"/>
      <c r="X46" s="325"/>
    </row>
    <row r="47" spans="1:24" x14ac:dyDescent="0.35">
      <c r="A47" t="s">
        <v>36</v>
      </c>
      <c r="B47" s="322">
        <f>SUM(B34:B45)</f>
        <v>419558.88303021609</v>
      </c>
      <c r="D47" s="322">
        <f>SUM(D34:D45)</f>
        <v>12013</v>
      </c>
      <c r="E47" s="322">
        <f>SUM(E34:E45)</f>
        <v>407545.88303021609</v>
      </c>
      <c r="F47" s="322"/>
      <c r="G47" s="322">
        <f>SUM(G34:G45)</f>
        <v>1333109</v>
      </c>
      <c r="H47" s="322">
        <f>SUM(H34:H45)</f>
        <v>239158.54732408095</v>
      </c>
      <c r="I47" s="322">
        <f>SUM(I34:I45)</f>
        <v>1093950.452675919</v>
      </c>
      <c r="J47" s="322"/>
      <c r="Q47" s="325"/>
      <c r="R47" s="325"/>
      <c r="S47" s="325"/>
      <c r="T47" s="325"/>
      <c r="U47" s="325"/>
      <c r="V47" s="325"/>
      <c r="W47" s="325"/>
      <c r="X47" s="325"/>
    </row>
    <row r="48" spans="1:24" x14ac:dyDescent="0.35">
      <c r="D48" s="321">
        <f>ROUND(D47/B47,3)</f>
        <v>2.9000000000000001E-2</v>
      </c>
      <c r="E48" s="321">
        <f>ROUND(E47/B47,3)</f>
        <v>0.97099999999999997</v>
      </c>
      <c r="H48" s="322"/>
      <c r="I48" s="322"/>
      <c r="J48" s="322"/>
      <c r="Q48" s="325"/>
      <c r="R48" s="325"/>
      <c r="S48" s="325"/>
      <c r="T48" s="325"/>
      <c r="U48" s="325"/>
      <c r="V48" s="325"/>
      <c r="W48" s="325"/>
      <c r="X48" s="325"/>
    </row>
    <row r="49" spans="1:24" x14ac:dyDescent="0.35">
      <c r="F49" s="321"/>
      <c r="G49" s="321"/>
      <c r="H49" s="322"/>
      <c r="I49" s="322"/>
      <c r="J49" s="322"/>
      <c r="K49" s="322"/>
      <c r="L49" s="322"/>
      <c r="M49" s="322"/>
      <c r="N49" s="322"/>
      <c r="O49" s="322"/>
      <c r="P49" s="322"/>
      <c r="Q49" s="325"/>
      <c r="R49" s="325"/>
      <c r="S49" s="325"/>
      <c r="T49" s="325"/>
      <c r="U49" s="325"/>
      <c r="V49" s="325"/>
      <c r="W49" s="325"/>
      <c r="X49" s="325"/>
    </row>
    <row r="50" spans="1:24" x14ac:dyDescent="0.35">
      <c r="A50" t="s">
        <v>69</v>
      </c>
      <c r="B50" s="322">
        <f>SUM(B39:B42)</f>
        <v>154754.95912814362</v>
      </c>
      <c r="D50" s="322">
        <f>SUM(D39:D42)</f>
        <v>3487</v>
      </c>
      <c r="E50" s="322">
        <f>SUM(E39:E42)</f>
        <v>151267.95912814362</v>
      </c>
      <c r="G50" s="322">
        <f>SUM(G39:G42)</f>
        <v>498055</v>
      </c>
      <c r="H50" s="322">
        <f>SUM(H39:H42)</f>
        <v>81682.790841806942</v>
      </c>
      <c r="I50" s="322">
        <f>SUM(I39:I42)</f>
        <v>416372.20915819303</v>
      </c>
      <c r="J50" s="322"/>
      <c r="Q50" s="325"/>
      <c r="R50" s="325"/>
      <c r="S50" s="325"/>
      <c r="T50" s="325"/>
      <c r="U50" s="325"/>
      <c r="V50" s="325"/>
      <c r="W50" s="325"/>
      <c r="X50" s="325"/>
    </row>
    <row r="51" spans="1:24" x14ac:dyDescent="0.35">
      <c r="A51" t="s">
        <v>62</v>
      </c>
      <c r="B51" s="322">
        <f>SUM(B34:B38)+SUM(B43:B45)</f>
        <v>264803.92390207254</v>
      </c>
      <c r="D51" s="322">
        <f>SUM(D34:D38)+SUM(D43:D45)</f>
        <v>8526</v>
      </c>
      <c r="E51" s="322">
        <f>SUM(E34:E38)+SUM(E43:E45)</f>
        <v>256277.92390207254</v>
      </c>
      <c r="G51" s="322">
        <f>SUM(G34:G38)+SUM(G43:G45)</f>
        <v>835054</v>
      </c>
      <c r="H51" s="322">
        <f>SUM(H34:H38)+SUM(H43:H45)</f>
        <v>157475.75648227401</v>
      </c>
      <c r="I51" s="322">
        <f>SUM(I34:I38)+SUM(I43:I45)</f>
        <v>677578.24351772596</v>
      </c>
      <c r="J51" s="322"/>
      <c r="Q51" s="325"/>
      <c r="R51" s="325"/>
      <c r="S51" s="325"/>
      <c r="T51" s="325"/>
      <c r="U51" s="325"/>
      <c r="V51" s="325"/>
      <c r="W51" s="325"/>
      <c r="X51" s="325"/>
    </row>
    <row r="52" spans="1:24" x14ac:dyDescent="0.35">
      <c r="Q52" s="325"/>
      <c r="R52" s="325"/>
      <c r="S52" s="325"/>
      <c r="T52" s="325"/>
      <c r="U52" s="325"/>
      <c r="V52" s="325"/>
      <c r="W52" s="325"/>
      <c r="X52" s="325"/>
    </row>
    <row r="53" spans="1:24" ht="13.15" x14ac:dyDescent="0.4">
      <c r="A53" s="319" t="s">
        <v>421</v>
      </c>
      <c r="Q53" s="325"/>
      <c r="R53" s="325"/>
      <c r="S53" s="325"/>
      <c r="T53" s="325"/>
      <c r="U53" s="325"/>
      <c r="V53" s="325"/>
      <c r="W53" s="325"/>
      <c r="X53" s="325"/>
    </row>
    <row r="54" spans="1:24" ht="13.15" x14ac:dyDescent="0.4">
      <c r="A54" s="319"/>
      <c r="Q54" s="325"/>
      <c r="R54" s="325"/>
      <c r="S54" s="325"/>
      <c r="T54" s="325"/>
      <c r="U54" s="325"/>
      <c r="V54" s="325"/>
      <c r="W54" s="325"/>
      <c r="X54" s="325"/>
    </row>
    <row r="55" spans="1:24" x14ac:dyDescent="0.35">
      <c r="B55" s="214"/>
      <c r="C55" s="214" t="s">
        <v>399</v>
      </c>
      <c r="D55" s="214"/>
      <c r="E55" s="214"/>
      <c r="F55" s="214"/>
      <c r="G55" s="214"/>
      <c r="H55" s="214"/>
      <c r="J55" s="322"/>
      <c r="N55" s="325"/>
      <c r="O55" s="325"/>
      <c r="P55" s="325"/>
      <c r="Q55" s="325"/>
      <c r="R55" s="325"/>
      <c r="S55" s="325"/>
      <c r="T55" s="325"/>
      <c r="U55" s="325"/>
      <c r="V55" s="325"/>
      <c r="W55" s="325"/>
      <c r="X55" s="325"/>
    </row>
    <row r="56" spans="1:24" x14ac:dyDescent="0.35">
      <c r="B56" s="214" t="s">
        <v>36</v>
      </c>
      <c r="C56" s="214" t="s">
        <v>402</v>
      </c>
      <c r="D56" s="214" t="s">
        <v>402</v>
      </c>
      <c r="E56" s="214" t="s">
        <v>403</v>
      </c>
      <c r="F56" s="214" t="s">
        <v>404</v>
      </c>
      <c r="G56" s="214"/>
      <c r="H56" s="214" t="s">
        <v>405</v>
      </c>
      <c r="I56" s="214" t="s">
        <v>406</v>
      </c>
      <c r="J56" s="322"/>
      <c r="N56" s="325"/>
      <c r="O56" s="325"/>
      <c r="P56" s="325"/>
      <c r="Q56" s="325"/>
      <c r="R56" s="325"/>
      <c r="S56" s="325"/>
      <c r="T56" s="325"/>
      <c r="U56" s="325"/>
      <c r="V56" s="325"/>
      <c r="W56" s="325"/>
      <c r="X56" s="325"/>
    </row>
    <row r="57" spans="1:24" x14ac:dyDescent="0.35">
      <c r="B57" s="149" t="s">
        <v>390</v>
      </c>
      <c r="C57" s="149" t="s">
        <v>409</v>
      </c>
      <c r="D57" s="320" t="s">
        <v>410</v>
      </c>
      <c r="E57" s="320" t="s">
        <v>410</v>
      </c>
      <c r="F57" s="149" t="s">
        <v>411</v>
      </c>
      <c r="G57" s="149" t="s">
        <v>412</v>
      </c>
      <c r="H57" s="149" t="s">
        <v>413</v>
      </c>
      <c r="I57" s="149" t="s">
        <v>412</v>
      </c>
      <c r="J57" s="322"/>
      <c r="N57" s="325"/>
      <c r="O57" s="325"/>
      <c r="P57" s="325"/>
      <c r="Q57" s="325"/>
      <c r="R57" s="325"/>
      <c r="S57" s="325"/>
      <c r="T57" s="325"/>
      <c r="U57" s="325"/>
      <c r="V57" s="325"/>
      <c r="W57" s="325"/>
      <c r="X57" s="325"/>
    </row>
    <row r="58" spans="1:24" x14ac:dyDescent="0.35">
      <c r="B58" s="149"/>
      <c r="C58" s="149"/>
      <c r="D58" s="320"/>
      <c r="E58" s="320"/>
      <c r="F58" s="320"/>
      <c r="G58" s="320"/>
      <c r="H58" s="149"/>
      <c r="I58" s="167"/>
      <c r="J58" s="322"/>
      <c r="N58" s="325"/>
      <c r="O58" s="325"/>
      <c r="P58" s="325"/>
      <c r="Q58" s="325"/>
      <c r="R58" s="325"/>
      <c r="S58" s="325"/>
      <c r="T58" s="325"/>
      <c r="U58" s="325"/>
      <c r="V58" s="325"/>
      <c r="W58" s="325"/>
      <c r="X58" s="325"/>
    </row>
    <row r="59" spans="1:24" x14ac:dyDescent="0.35">
      <c r="A59" t="s">
        <v>210</v>
      </c>
      <c r="C59" s="321"/>
      <c r="D59" s="36"/>
      <c r="E59" s="326">
        <v>3621.7619999999997</v>
      </c>
      <c r="F59" s="36"/>
      <c r="G59" s="36">
        <f>H59+I59</f>
        <v>9236.2599999999984</v>
      </c>
      <c r="H59" s="326">
        <v>97.5</v>
      </c>
      <c r="I59" s="326">
        <v>9138.7599999999984</v>
      </c>
      <c r="J59" s="322"/>
      <c r="N59" s="325"/>
      <c r="O59" s="325"/>
      <c r="P59" s="325"/>
      <c r="Q59" s="325"/>
      <c r="R59" s="325"/>
      <c r="S59" s="325"/>
      <c r="T59" s="325"/>
      <c r="U59" s="325"/>
      <c r="V59" s="325"/>
      <c r="W59" s="325"/>
      <c r="X59" s="325"/>
    </row>
    <row r="60" spans="1:24" x14ac:dyDescent="0.35">
      <c r="A60" t="s">
        <v>211</v>
      </c>
      <c r="C60" s="321"/>
      <c r="D60" s="36"/>
      <c r="E60" s="326">
        <v>4007.1575000000003</v>
      </c>
      <c r="F60" s="36"/>
      <c r="G60" s="36">
        <f t="shared" ref="G60:G70" si="16">H60+I60</f>
        <v>9198.23</v>
      </c>
      <c r="H60" s="326">
        <v>97.5</v>
      </c>
      <c r="I60" s="326">
        <v>9100.73</v>
      </c>
      <c r="J60" s="322"/>
      <c r="N60" s="325"/>
      <c r="O60" s="325"/>
      <c r="P60" s="325"/>
      <c r="Q60" s="325"/>
      <c r="R60" s="325"/>
      <c r="S60" s="325"/>
      <c r="T60" s="325"/>
      <c r="U60" s="325"/>
      <c r="V60" s="325"/>
      <c r="W60" s="325"/>
      <c r="X60" s="325"/>
    </row>
    <row r="61" spans="1:24" x14ac:dyDescent="0.35">
      <c r="A61" t="s">
        <v>212</v>
      </c>
      <c r="C61" s="321"/>
      <c r="D61" s="36"/>
      <c r="E61" s="326">
        <v>4330.5969999999998</v>
      </c>
      <c r="F61" s="36"/>
      <c r="G61" s="36">
        <f t="shared" si="16"/>
        <v>9526.2800000000007</v>
      </c>
      <c r="H61" s="326">
        <v>97.5</v>
      </c>
      <c r="I61" s="326">
        <v>9428.7800000000007</v>
      </c>
      <c r="J61" s="322"/>
      <c r="N61" s="325"/>
      <c r="O61" s="325"/>
      <c r="P61" s="325"/>
      <c r="Q61" s="325"/>
      <c r="R61" s="325"/>
      <c r="S61" s="325"/>
      <c r="T61" s="325"/>
      <c r="U61" s="325"/>
      <c r="V61" s="325"/>
      <c r="W61" s="325"/>
      <c r="X61" s="325"/>
    </row>
    <row r="62" spans="1:24" x14ac:dyDescent="0.35">
      <c r="A62" t="s">
        <v>214</v>
      </c>
      <c r="C62" s="321"/>
      <c r="D62" s="36"/>
      <c r="E62" s="326">
        <v>4060.1309999999999</v>
      </c>
      <c r="F62" s="36"/>
      <c r="G62" s="36">
        <f t="shared" si="16"/>
        <v>9202.989999999998</v>
      </c>
      <c r="H62" s="326">
        <v>87.5</v>
      </c>
      <c r="I62" s="326">
        <v>9115.489999999998</v>
      </c>
      <c r="J62" s="322"/>
      <c r="N62" s="325"/>
      <c r="O62" s="325"/>
      <c r="P62" s="325"/>
      <c r="Q62" s="325"/>
      <c r="R62" s="325"/>
      <c r="S62" s="325"/>
      <c r="T62" s="325"/>
      <c r="U62" s="325"/>
      <c r="V62" s="325"/>
      <c r="W62" s="325"/>
      <c r="X62" s="325"/>
    </row>
    <row r="63" spans="1:24" x14ac:dyDescent="0.35">
      <c r="A63" t="s">
        <v>17</v>
      </c>
      <c r="C63" s="321"/>
      <c r="D63" s="36"/>
      <c r="E63" s="326">
        <v>3300.14</v>
      </c>
      <c r="F63" s="36"/>
      <c r="G63" s="36">
        <f t="shared" si="16"/>
        <v>7838.5999999999995</v>
      </c>
      <c r="H63" s="326">
        <v>82.5</v>
      </c>
      <c r="I63" s="326">
        <v>7756.0999999999995</v>
      </c>
      <c r="J63" s="322"/>
      <c r="N63" s="325"/>
      <c r="O63" s="325"/>
      <c r="P63" s="325"/>
      <c r="Q63" s="325"/>
      <c r="R63" s="325"/>
      <c r="S63" s="325"/>
      <c r="T63" s="325"/>
      <c r="U63" s="325"/>
      <c r="V63" s="325"/>
      <c r="W63" s="325"/>
      <c r="X63" s="325"/>
    </row>
    <row r="64" spans="1:24" x14ac:dyDescent="0.35">
      <c r="A64" t="s">
        <v>416</v>
      </c>
      <c r="C64" s="321"/>
      <c r="D64" s="36"/>
      <c r="E64" s="326">
        <v>4302.1644999999999</v>
      </c>
      <c r="F64" s="36"/>
      <c r="G64" s="36">
        <f t="shared" si="16"/>
        <v>10426.519999999999</v>
      </c>
      <c r="H64" s="326">
        <v>87.5</v>
      </c>
      <c r="I64" s="326">
        <v>10339.019999999999</v>
      </c>
      <c r="J64" s="322"/>
      <c r="N64" s="325"/>
      <c r="O64" s="325"/>
      <c r="P64" s="325"/>
      <c r="Q64" s="325"/>
      <c r="R64" s="325"/>
      <c r="S64" s="325"/>
      <c r="T64" s="325"/>
      <c r="U64" s="325"/>
      <c r="V64" s="325"/>
      <c r="W64" s="325"/>
      <c r="X64" s="325"/>
    </row>
    <row r="65" spans="1:24" x14ac:dyDescent="0.35">
      <c r="A65" t="s">
        <v>417</v>
      </c>
      <c r="C65" s="321"/>
      <c r="D65" s="36"/>
      <c r="E65" s="326">
        <v>4233.9475000000002</v>
      </c>
      <c r="F65" s="36"/>
      <c r="G65" s="36">
        <f t="shared" si="16"/>
        <v>9782.36</v>
      </c>
      <c r="H65" s="326">
        <v>87.5</v>
      </c>
      <c r="I65" s="326">
        <v>9694.86</v>
      </c>
      <c r="J65" s="322"/>
      <c r="N65" s="325"/>
      <c r="O65" s="325"/>
      <c r="P65" s="325"/>
      <c r="Q65" s="325"/>
      <c r="R65" s="325"/>
      <c r="S65" s="325"/>
      <c r="T65" s="325"/>
      <c r="U65" s="325"/>
      <c r="V65" s="325"/>
      <c r="W65" s="325"/>
      <c r="X65" s="325"/>
    </row>
    <row r="66" spans="1:24" x14ac:dyDescent="0.35">
      <c r="A66" t="s">
        <v>418</v>
      </c>
      <c r="C66" s="321"/>
      <c r="D66" s="36"/>
      <c r="E66" s="326">
        <v>4482.0955000000004</v>
      </c>
      <c r="F66" s="36"/>
      <c r="G66" s="36">
        <f t="shared" si="16"/>
        <v>11125.77</v>
      </c>
      <c r="H66" s="326">
        <v>87.5</v>
      </c>
      <c r="I66" s="326">
        <v>11038.27</v>
      </c>
      <c r="J66" s="322"/>
      <c r="N66" s="325"/>
      <c r="O66" s="325"/>
      <c r="P66" s="325"/>
      <c r="Q66" s="325"/>
      <c r="R66" s="325"/>
      <c r="S66" s="325"/>
      <c r="T66" s="325"/>
      <c r="U66" s="325"/>
      <c r="V66" s="325"/>
      <c r="W66" s="325"/>
      <c r="X66" s="325"/>
    </row>
    <row r="67" spans="1:24" x14ac:dyDescent="0.35">
      <c r="A67" t="s">
        <v>419</v>
      </c>
      <c r="C67" s="321"/>
      <c r="D67" s="36"/>
      <c r="E67" s="326">
        <v>5030.3249999999998</v>
      </c>
      <c r="F67" s="36"/>
      <c r="G67" s="36">
        <f t="shared" si="16"/>
        <v>11243.71</v>
      </c>
      <c r="H67" s="326">
        <v>87.5</v>
      </c>
      <c r="I67" s="326">
        <v>11156.21</v>
      </c>
      <c r="J67" s="322"/>
      <c r="N67" s="325"/>
      <c r="O67" s="325"/>
      <c r="P67" s="325"/>
      <c r="Q67" s="325"/>
      <c r="R67" s="325"/>
      <c r="S67" s="325"/>
      <c r="T67" s="325"/>
      <c r="U67" s="325"/>
      <c r="V67" s="325"/>
      <c r="W67" s="325"/>
      <c r="X67" s="325"/>
    </row>
    <row r="68" spans="1:24" x14ac:dyDescent="0.35">
      <c r="A68" t="s">
        <v>207</v>
      </c>
      <c r="C68" s="321"/>
      <c r="D68" s="36"/>
      <c r="E68" s="326">
        <v>4996.5239999999994</v>
      </c>
      <c r="F68" s="36"/>
      <c r="G68" s="36">
        <f t="shared" si="16"/>
        <v>12569.550000000003</v>
      </c>
      <c r="H68" s="326">
        <v>107.5</v>
      </c>
      <c r="I68" s="326">
        <v>12462.050000000003</v>
      </c>
      <c r="J68" s="322"/>
      <c r="N68" s="325"/>
      <c r="O68" s="325"/>
      <c r="P68" s="325"/>
      <c r="Q68" s="325"/>
      <c r="R68" s="325"/>
      <c r="S68" s="325"/>
      <c r="T68" s="325"/>
      <c r="U68" s="325"/>
      <c r="V68" s="325"/>
      <c r="W68" s="325"/>
      <c r="X68" s="325"/>
    </row>
    <row r="69" spans="1:24" x14ac:dyDescent="0.35">
      <c r="A69" t="s">
        <v>208</v>
      </c>
      <c r="C69" s="321"/>
      <c r="D69" s="36"/>
      <c r="E69" s="326">
        <v>3826.8275000000003</v>
      </c>
      <c r="F69" s="36"/>
      <c r="G69" s="36">
        <f t="shared" si="16"/>
        <v>9064.9</v>
      </c>
      <c r="H69" s="326">
        <v>87.5</v>
      </c>
      <c r="I69" s="326">
        <v>8977.4</v>
      </c>
      <c r="J69" s="322"/>
      <c r="N69" s="325"/>
      <c r="O69" s="325"/>
      <c r="P69" s="325"/>
      <c r="Q69" s="325"/>
      <c r="R69" s="325"/>
      <c r="S69" s="325"/>
      <c r="T69" s="325"/>
      <c r="U69" s="325"/>
      <c r="V69" s="325"/>
      <c r="W69" s="325"/>
      <c r="X69" s="325"/>
    </row>
    <row r="70" spans="1:24" x14ac:dyDescent="0.35">
      <c r="A70" t="s">
        <v>209</v>
      </c>
      <c r="C70" s="321"/>
      <c r="D70" s="36"/>
      <c r="E70" s="326">
        <v>3733.855</v>
      </c>
      <c r="F70" s="36"/>
      <c r="G70" s="36">
        <f t="shared" si="16"/>
        <v>9110.8000000000011</v>
      </c>
      <c r="H70" s="326">
        <v>92.5</v>
      </c>
      <c r="I70" s="326">
        <v>9018.3000000000011</v>
      </c>
      <c r="J70" s="322"/>
      <c r="N70" s="325"/>
      <c r="O70" s="325"/>
      <c r="P70" s="325"/>
      <c r="Q70" s="325"/>
      <c r="R70" s="325"/>
      <c r="S70" s="325"/>
      <c r="T70" s="325"/>
      <c r="U70" s="325"/>
      <c r="V70" s="325"/>
      <c r="W70" s="325"/>
      <c r="X70" s="325"/>
    </row>
    <row r="71" spans="1:24" x14ac:dyDescent="0.35">
      <c r="H71" s="326"/>
      <c r="I71" s="322"/>
      <c r="J71" s="322"/>
      <c r="N71" s="325"/>
      <c r="O71" s="325"/>
      <c r="P71" s="325"/>
      <c r="Q71" s="325"/>
      <c r="R71" s="325"/>
      <c r="S71" s="325"/>
      <c r="T71" s="325"/>
      <c r="U71" s="325"/>
      <c r="V71" s="325"/>
      <c r="W71" s="325"/>
      <c r="X71" s="325"/>
    </row>
    <row r="72" spans="1:24" x14ac:dyDescent="0.35">
      <c r="B72" s="322"/>
      <c r="D72" s="322"/>
      <c r="E72" s="322"/>
      <c r="G72" s="322"/>
      <c r="H72" s="322"/>
      <c r="I72" s="322"/>
      <c r="J72" s="322"/>
      <c r="N72" s="325"/>
      <c r="O72" s="325"/>
      <c r="P72" s="325"/>
      <c r="Q72" s="325"/>
      <c r="R72" s="325"/>
      <c r="S72" s="325"/>
      <c r="T72" s="325"/>
      <c r="U72" s="325"/>
      <c r="V72" s="325"/>
      <c r="W72" s="325"/>
      <c r="X72" s="325"/>
    </row>
    <row r="73" spans="1:24" x14ac:dyDescent="0.35">
      <c r="B73" s="322"/>
      <c r="D73" s="322"/>
      <c r="E73" s="322"/>
      <c r="G73" s="322"/>
      <c r="H73" s="322"/>
      <c r="I73" s="322"/>
      <c r="J73" s="322"/>
      <c r="N73" s="325"/>
      <c r="O73" s="325"/>
      <c r="P73" s="325"/>
      <c r="Q73" s="325"/>
      <c r="R73" s="325"/>
      <c r="S73" s="325"/>
      <c r="T73" s="325"/>
      <c r="U73" s="325"/>
      <c r="V73" s="325"/>
      <c r="W73" s="325"/>
      <c r="X73" s="325"/>
    </row>
    <row r="74" spans="1:24" ht="13.15" x14ac:dyDescent="0.4">
      <c r="A74" s="319" t="s">
        <v>422</v>
      </c>
    </row>
    <row r="75" spans="1:24" x14ac:dyDescent="0.35">
      <c r="B75" s="214"/>
      <c r="C75" s="214" t="s">
        <v>399</v>
      </c>
      <c r="D75" s="214"/>
      <c r="E75" s="214"/>
      <c r="F75" s="214"/>
      <c r="G75" s="214"/>
      <c r="H75" s="214"/>
      <c r="O75" s="216" t="s">
        <v>400</v>
      </c>
      <c r="P75" s="216" t="s">
        <v>401</v>
      </c>
    </row>
    <row r="76" spans="1:24" x14ac:dyDescent="0.35">
      <c r="B76" s="214" t="s">
        <v>36</v>
      </c>
      <c r="C76" s="214" t="s">
        <v>402</v>
      </c>
      <c r="D76" s="214" t="s">
        <v>402</v>
      </c>
      <c r="E76" s="214" t="s">
        <v>403</v>
      </c>
      <c r="F76" s="214" t="s">
        <v>404</v>
      </c>
      <c r="G76" s="214"/>
      <c r="H76" s="214" t="s">
        <v>405</v>
      </c>
      <c r="I76" s="214" t="s">
        <v>406</v>
      </c>
      <c r="K76" s="214"/>
      <c r="N76" s="207" t="s">
        <v>407</v>
      </c>
      <c r="O76" t="s">
        <v>408</v>
      </c>
      <c r="P76" s="216" t="s">
        <v>408</v>
      </c>
    </row>
    <row r="77" spans="1:24" x14ac:dyDescent="0.35">
      <c r="B77" s="149" t="s">
        <v>390</v>
      </c>
      <c r="C77" s="149" t="s">
        <v>409</v>
      </c>
      <c r="D77" s="320" t="s">
        <v>410</v>
      </c>
      <c r="E77" s="320" t="s">
        <v>410</v>
      </c>
      <c r="F77" s="149" t="s">
        <v>411</v>
      </c>
      <c r="G77" s="149" t="s">
        <v>412</v>
      </c>
      <c r="H77" s="149" t="s">
        <v>413</v>
      </c>
      <c r="I77" s="149" t="s">
        <v>412</v>
      </c>
      <c r="K77" s="149"/>
      <c r="N77" s="147" t="s">
        <v>414</v>
      </c>
      <c r="O77" s="147" t="s">
        <v>415</v>
      </c>
      <c r="P77" s="147" t="s">
        <v>415</v>
      </c>
    </row>
    <row r="78" spans="1:24" x14ac:dyDescent="0.35">
      <c r="B78" s="149"/>
      <c r="C78" s="149"/>
      <c r="D78" s="320"/>
      <c r="E78" s="320"/>
      <c r="F78" s="320"/>
      <c r="G78" s="320"/>
      <c r="H78" s="149"/>
      <c r="I78" s="167"/>
    </row>
    <row r="79" spans="1:24" x14ac:dyDescent="0.35">
      <c r="A79" t="s">
        <v>210</v>
      </c>
      <c r="B79" s="36">
        <f>B34-B59</f>
        <v>34797.560621398428</v>
      </c>
      <c r="C79" s="36"/>
      <c r="D79" s="36">
        <f>D34-D59</f>
        <v>1461</v>
      </c>
      <c r="E79" s="36">
        <f>E34-E59</f>
        <v>29714.79862139843</v>
      </c>
      <c r="F79" s="36"/>
      <c r="G79" s="36">
        <f>G34-G59</f>
        <v>87505.74</v>
      </c>
      <c r="H79" s="36">
        <f>H34-H59</f>
        <v>18284.536617441143</v>
      </c>
      <c r="I79" s="36">
        <f>I34-I59</f>
        <v>69221.203382558859</v>
      </c>
      <c r="K79" s="326"/>
      <c r="L79" s="322"/>
      <c r="M79" s="322"/>
      <c r="N79" s="323">
        <f>N8</f>
        <v>0.70878206761034823</v>
      </c>
      <c r="O79" s="36">
        <f>E79/P79*1000</f>
        <v>4623.4152551111292</v>
      </c>
      <c r="P79" s="36">
        <f>P8</f>
        <v>6427.0235273695307</v>
      </c>
      <c r="Q79" s="322"/>
    </row>
    <row r="80" spans="1:24" x14ac:dyDescent="0.35">
      <c r="A80" t="s">
        <v>211</v>
      </c>
      <c r="B80" s="36">
        <f t="shared" ref="B80:B90" si="17">B35-B60</f>
        <v>36496.642659026955</v>
      </c>
      <c r="C80" s="36"/>
      <c r="D80" s="36">
        <f t="shared" ref="D80:D90" si="18">ROUND(B80*C9,0)</f>
        <v>1504</v>
      </c>
      <c r="E80" s="36">
        <f t="shared" ref="E80:E90" si="19">E35-E60</f>
        <v>30985.485159026954</v>
      </c>
      <c r="F80" s="36"/>
      <c r="G80" s="36">
        <f t="shared" ref="G80:I90" si="20">G35-G60</f>
        <v>96929.77</v>
      </c>
      <c r="H80" s="36">
        <f t="shared" si="20"/>
        <v>20078.503993941693</v>
      </c>
      <c r="I80" s="36">
        <f t="shared" si="20"/>
        <v>76851.266006058315</v>
      </c>
      <c r="J80" s="322"/>
      <c r="K80" s="326"/>
      <c r="N80" s="323">
        <f t="shared" ref="N80:N90" si="21">N9</f>
        <v>0.71039576391969717</v>
      </c>
      <c r="O80" s="36">
        <f t="shared" ref="O80:O90" si="22">E80/P80*1000</f>
        <v>5029.7493885738304</v>
      </c>
      <c r="P80" s="36">
        <f t="shared" ref="P80:P90" si="23">P9</f>
        <v>6160.4431484036204</v>
      </c>
    </row>
    <row r="81" spans="1:22" x14ac:dyDescent="0.35">
      <c r="A81" t="s">
        <v>212</v>
      </c>
      <c r="B81" s="36">
        <f t="shared" si="17"/>
        <v>32909.965271151224</v>
      </c>
      <c r="C81" s="36"/>
      <c r="D81" s="36">
        <f t="shared" si="18"/>
        <v>1112</v>
      </c>
      <c r="E81" s="36">
        <f t="shared" si="19"/>
        <v>27467.368271151223</v>
      </c>
      <c r="F81" s="36"/>
      <c r="G81" s="36">
        <f t="shared" si="20"/>
        <v>95337.72</v>
      </c>
      <c r="H81" s="36">
        <f t="shared" si="20"/>
        <v>20596.442124438585</v>
      </c>
      <c r="I81" s="36">
        <f t="shared" si="20"/>
        <v>74741.277875561413</v>
      </c>
      <c r="J81" s="322"/>
      <c r="K81" s="326"/>
      <c r="N81" s="323">
        <f t="shared" si="21"/>
        <v>0.70309709828805722</v>
      </c>
      <c r="O81" s="36">
        <f t="shared" si="22"/>
        <v>5084.8206579729194</v>
      </c>
      <c r="P81" s="36">
        <f t="shared" si="23"/>
        <v>5401.8361941797921</v>
      </c>
    </row>
    <row r="82" spans="1:22" x14ac:dyDescent="0.35">
      <c r="A82" t="s">
        <v>214</v>
      </c>
      <c r="B82" s="36">
        <f t="shared" si="17"/>
        <v>29251.739897350839</v>
      </c>
      <c r="C82" s="36"/>
      <c r="D82" s="36">
        <f t="shared" si="18"/>
        <v>875</v>
      </c>
      <c r="E82" s="36">
        <f t="shared" si="19"/>
        <v>24316.608897350838</v>
      </c>
      <c r="F82" s="36"/>
      <c r="G82" s="36">
        <f t="shared" si="20"/>
        <v>86266.010000000009</v>
      </c>
      <c r="H82" s="36">
        <f t="shared" si="20"/>
        <v>18143.322331616473</v>
      </c>
      <c r="I82" s="36">
        <f t="shared" si="20"/>
        <v>68122.687668383529</v>
      </c>
      <c r="J82" s="322"/>
      <c r="K82" s="326"/>
      <c r="N82" s="323">
        <f t="shared" si="21"/>
        <v>0.71050057888835383</v>
      </c>
      <c r="O82" s="36">
        <f t="shared" si="22"/>
        <v>4397.5656186342794</v>
      </c>
      <c r="P82" s="36">
        <f t="shared" si="23"/>
        <v>5529.5613541982066</v>
      </c>
    </row>
    <row r="83" spans="1:22" x14ac:dyDescent="0.35">
      <c r="A83" t="s">
        <v>17</v>
      </c>
      <c r="B83" s="36">
        <f t="shared" si="17"/>
        <v>31659.675312972409</v>
      </c>
      <c r="C83" s="36"/>
      <c r="D83" s="36">
        <f t="shared" si="18"/>
        <v>750</v>
      </c>
      <c r="E83" s="36">
        <f t="shared" si="19"/>
        <v>27609.53531297241</v>
      </c>
      <c r="F83" s="36"/>
      <c r="G83" s="36">
        <f t="shared" si="20"/>
        <v>101986.4</v>
      </c>
      <c r="H83" s="36">
        <f t="shared" si="20"/>
        <v>20298.994128209226</v>
      </c>
      <c r="I83" s="36">
        <f t="shared" si="20"/>
        <v>81687.405871790776</v>
      </c>
      <c r="J83" s="322"/>
      <c r="K83" s="326"/>
      <c r="N83" s="323">
        <f t="shared" si="21"/>
        <v>0.72306471629587477</v>
      </c>
      <c r="O83" s="36">
        <f t="shared" si="22"/>
        <v>5035.6263607248229</v>
      </c>
      <c r="P83" s="36">
        <f t="shared" si="23"/>
        <v>5482.8403330937999</v>
      </c>
    </row>
    <row r="84" spans="1:22" x14ac:dyDescent="0.35">
      <c r="A84" t="s">
        <v>416</v>
      </c>
      <c r="B84" s="36">
        <f t="shared" si="17"/>
        <v>33301.036295696416</v>
      </c>
      <c r="C84" s="36"/>
      <c r="D84" s="36">
        <f t="shared" si="18"/>
        <v>739</v>
      </c>
      <c r="E84" s="36">
        <f t="shared" si="19"/>
        <v>28259.871795696417</v>
      </c>
      <c r="F84" s="36"/>
      <c r="G84" s="36">
        <f t="shared" si="20"/>
        <v>104358.48</v>
      </c>
      <c r="H84" s="36">
        <f t="shared" si="20"/>
        <v>18682.456423939133</v>
      </c>
      <c r="I84" s="36">
        <f t="shared" si="20"/>
        <v>85676.023576060863</v>
      </c>
      <c r="J84" s="322"/>
      <c r="K84" s="326"/>
      <c r="N84" s="323">
        <f t="shared" si="21"/>
        <v>0.7358031178509965</v>
      </c>
      <c r="O84" s="36">
        <f t="shared" si="22"/>
        <v>4427.823159692397</v>
      </c>
      <c r="P84" s="36">
        <f t="shared" si="23"/>
        <v>6382.3397584965078</v>
      </c>
    </row>
    <row r="85" spans="1:22" x14ac:dyDescent="0.35">
      <c r="A85" t="s">
        <v>417</v>
      </c>
      <c r="B85" s="36">
        <f t="shared" si="17"/>
        <v>39433.423004603595</v>
      </c>
      <c r="C85" s="36"/>
      <c r="D85" s="36">
        <f t="shared" si="18"/>
        <v>931</v>
      </c>
      <c r="E85" s="36">
        <f t="shared" si="19"/>
        <v>34268.475504603593</v>
      </c>
      <c r="F85" s="36"/>
      <c r="G85" s="36">
        <f t="shared" si="20"/>
        <v>117683.64</v>
      </c>
      <c r="H85" s="36">
        <f t="shared" si="20"/>
        <v>20102.133115222245</v>
      </c>
      <c r="I85" s="36">
        <f t="shared" si="20"/>
        <v>97581.506884777758</v>
      </c>
      <c r="J85" s="322"/>
      <c r="K85" s="326"/>
      <c r="N85" s="323">
        <f t="shared" si="21"/>
        <v>0.73784157143108398</v>
      </c>
      <c r="O85" s="36">
        <f t="shared" si="22"/>
        <v>4870.8193824723767</v>
      </c>
      <c r="P85" s="36">
        <f t="shared" si="23"/>
        <v>7035.4642235182364</v>
      </c>
    </row>
    <row r="86" spans="1:22" x14ac:dyDescent="0.35">
      <c r="A86" t="s">
        <v>418</v>
      </c>
      <c r="B86" s="36">
        <f t="shared" si="17"/>
        <v>42275.360558510925</v>
      </c>
      <c r="C86" s="36"/>
      <c r="D86" s="36">
        <f t="shared" si="18"/>
        <v>955</v>
      </c>
      <c r="E86" s="36">
        <f t="shared" si="19"/>
        <v>36838.265058510922</v>
      </c>
      <c r="F86" s="36"/>
      <c r="G86" s="36">
        <f t="shared" si="20"/>
        <v>124360.23</v>
      </c>
      <c r="H86" s="36">
        <f t="shared" si="20"/>
        <v>21661.898748612297</v>
      </c>
      <c r="I86" s="36">
        <f t="shared" si="20"/>
        <v>102698.3312513877</v>
      </c>
      <c r="J86" s="322"/>
      <c r="K86" s="326"/>
      <c r="N86" s="323">
        <f t="shared" si="21"/>
        <v>0.73524876847290599</v>
      </c>
      <c r="O86" s="36">
        <f t="shared" si="22"/>
        <v>5274.4601010040924</v>
      </c>
      <c r="P86" s="36">
        <f t="shared" si="23"/>
        <v>6984.2722009591216</v>
      </c>
    </row>
    <row r="87" spans="1:22" x14ac:dyDescent="0.35">
      <c r="A87" t="s">
        <v>419</v>
      </c>
      <c r="B87" s="36">
        <f t="shared" si="17"/>
        <v>39745.139269332671</v>
      </c>
      <c r="C87" s="36"/>
      <c r="D87" s="36">
        <f t="shared" si="18"/>
        <v>862</v>
      </c>
      <c r="E87" s="36">
        <f t="shared" si="19"/>
        <v>33852.814269332674</v>
      </c>
      <c r="F87" s="36"/>
      <c r="G87" s="36">
        <f t="shared" si="20"/>
        <v>109074.29000000001</v>
      </c>
      <c r="H87" s="36">
        <f t="shared" si="20"/>
        <v>20886.302554033271</v>
      </c>
      <c r="I87" s="36">
        <f t="shared" si="20"/>
        <v>88187.987445966719</v>
      </c>
      <c r="J87" s="322"/>
      <c r="K87" s="326"/>
      <c r="N87" s="323">
        <f t="shared" si="21"/>
        <v>0.72391243723058141</v>
      </c>
      <c r="O87" s="36">
        <f t="shared" si="22"/>
        <v>5044.9235623263767</v>
      </c>
      <c r="P87" s="36">
        <f t="shared" si="23"/>
        <v>6710.2729805725849</v>
      </c>
    </row>
    <row r="88" spans="1:22" x14ac:dyDescent="0.35">
      <c r="A88" t="s">
        <v>207</v>
      </c>
      <c r="B88" s="36">
        <f t="shared" si="17"/>
        <v>37142.207474808238</v>
      </c>
      <c r="C88" s="36"/>
      <c r="D88" s="36">
        <f t="shared" si="18"/>
        <v>810</v>
      </c>
      <c r="E88" s="36">
        <f t="shared" si="19"/>
        <v>31335.68347480824</v>
      </c>
      <c r="F88" s="36"/>
      <c r="G88" s="36">
        <f t="shared" si="20"/>
        <v>109060.45</v>
      </c>
      <c r="H88" s="36">
        <f t="shared" si="20"/>
        <v>22303.915162169062</v>
      </c>
      <c r="I88" s="36">
        <f t="shared" si="20"/>
        <v>86756.534837830943</v>
      </c>
      <c r="J88" s="322"/>
      <c r="K88" s="326"/>
      <c r="N88" s="323">
        <f t="shared" si="21"/>
        <v>0.71627511571464408</v>
      </c>
      <c r="O88" s="36">
        <f t="shared" si="22"/>
        <v>5397.1787170187454</v>
      </c>
      <c r="P88" s="36">
        <f t="shared" si="23"/>
        <v>5805.9377163106465</v>
      </c>
    </row>
    <row r="89" spans="1:22" x14ac:dyDescent="0.35">
      <c r="A89" t="s">
        <v>208</v>
      </c>
      <c r="B89" s="36">
        <f t="shared" si="17"/>
        <v>29869.781904008894</v>
      </c>
      <c r="C89" s="36"/>
      <c r="D89" s="36">
        <f t="shared" si="18"/>
        <v>789</v>
      </c>
      <c r="E89" s="36">
        <f t="shared" si="19"/>
        <v>25253.954404008895</v>
      </c>
      <c r="F89" s="36"/>
      <c r="G89" s="36">
        <f t="shared" si="20"/>
        <v>92852.1</v>
      </c>
      <c r="H89" s="36">
        <f t="shared" si="20"/>
        <v>18320.122026623631</v>
      </c>
      <c r="I89" s="36">
        <f t="shared" si="20"/>
        <v>74531.977973376372</v>
      </c>
      <c r="J89" s="322"/>
      <c r="K89" s="326"/>
      <c r="N89" s="323">
        <f t="shared" si="21"/>
        <v>0.71666668315680759</v>
      </c>
      <c r="O89" s="36">
        <f t="shared" si="22"/>
        <v>4461.0160040405108</v>
      </c>
      <c r="P89" s="36">
        <f t="shared" si="23"/>
        <v>5661.0320117962883</v>
      </c>
    </row>
    <row r="90" spans="1:22" x14ac:dyDescent="0.35">
      <c r="A90" t="s">
        <v>209</v>
      </c>
      <c r="B90" s="36">
        <f t="shared" si="17"/>
        <v>32676.350761355548</v>
      </c>
      <c r="C90" s="36"/>
      <c r="D90" s="36">
        <f t="shared" si="18"/>
        <v>1225</v>
      </c>
      <c r="E90" s="36">
        <f t="shared" si="19"/>
        <v>27717.495761355549</v>
      </c>
      <c r="F90" s="36"/>
      <c r="G90" s="36">
        <f t="shared" si="20"/>
        <v>89368.2</v>
      </c>
      <c r="H90" s="36">
        <f t="shared" si="20"/>
        <v>18699.920097834201</v>
      </c>
      <c r="I90" s="36">
        <f t="shared" si="20"/>
        <v>70668.279902165799</v>
      </c>
      <c r="J90" s="322"/>
      <c r="K90" s="326"/>
      <c r="N90" s="323">
        <f t="shared" si="21"/>
        <v>0.7107451977176753</v>
      </c>
      <c r="O90" s="36">
        <f t="shared" si="22"/>
        <v>4660.2955690453728</v>
      </c>
      <c r="P90" s="36">
        <f t="shared" si="23"/>
        <v>5947.583227437498</v>
      </c>
    </row>
    <row r="91" spans="1:22" x14ac:dyDescent="0.35">
      <c r="H91" s="322"/>
      <c r="I91" s="322"/>
      <c r="J91" s="322"/>
      <c r="N91" s="324"/>
      <c r="O91" s="322"/>
    </row>
    <row r="92" spans="1:22" x14ac:dyDescent="0.35">
      <c r="A92" t="s">
        <v>36</v>
      </c>
      <c r="B92" s="322">
        <f>SUM(B79:B90)</f>
        <v>419558.88303021609</v>
      </c>
      <c r="D92" s="322">
        <f>SUM(D79:D90)</f>
        <v>12013</v>
      </c>
      <c r="E92" s="322">
        <f>SUM(E79:E90)</f>
        <v>357620.35653021612</v>
      </c>
      <c r="F92" s="322"/>
      <c r="G92" s="322">
        <f>SUM(G79:G90)</f>
        <v>1214783.03</v>
      </c>
      <c r="H92" s="322">
        <f>SUM(H79:H90)</f>
        <v>238058.54732408095</v>
      </c>
      <c r="I92" s="322">
        <f>SUM(I79:I90)</f>
        <v>976724.48267591908</v>
      </c>
      <c r="J92" s="322"/>
    </row>
    <row r="93" spans="1:22" x14ac:dyDescent="0.35">
      <c r="D93" s="321">
        <f>ROUND(D92/B92,3)</f>
        <v>2.9000000000000001E-2</v>
      </c>
      <c r="E93" s="321">
        <f>ROUND(E92/B92,3)</f>
        <v>0.85199999999999998</v>
      </c>
      <c r="H93" s="322"/>
      <c r="I93" s="322"/>
      <c r="J93" s="322"/>
    </row>
    <row r="94" spans="1:22" x14ac:dyDescent="0.35">
      <c r="F94" s="321"/>
      <c r="G94" s="321"/>
      <c r="H94" s="322"/>
      <c r="I94" s="322"/>
      <c r="J94" s="322"/>
      <c r="K94" s="322"/>
      <c r="L94" s="322"/>
      <c r="M94" s="322"/>
      <c r="N94" s="322"/>
      <c r="O94" s="322"/>
      <c r="P94" s="322"/>
      <c r="Q94" s="322"/>
      <c r="R94" s="322"/>
      <c r="S94" s="322"/>
      <c r="T94" s="322"/>
      <c r="U94" s="322"/>
      <c r="V94" s="322"/>
    </row>
    <row r="95" spans="1:22" x14ac:dyDescent="0.35">
      <c r="A95" t="s">
        <v>69</v>
      </c>
      <c r="B95" s="322">
        <f>SUM(B84:B87)</f>
        <v>154754.95912814362</v>
      </c>
      <c r="D95" s="322">
        <f>SUM(D84:D87)</f>
        <v>3487</v>
      </c>
      <c r="E95" s="322">
        <f>SUM(E84:E87)</f>
        <v>133219.42662814361</v>
      </c>
      <c r="G95" s="322">
        <f>SUM(G84:G87)</f>
        <v>455476.64</v>
      </c>
      <c r="H95" s="322">
        <f>SUM(H84:H87)</f>
        <v>81332.790841806942</v>
      </c>
      <c r="I95" s="322">
        <f>SUM(I84:I87)</f>
        <v>374143.8491581931</v>
      </c>
      <c r="J95" s="322"/>
    </row>
    <row r="96" spans="1:22" x14ac:dyDescent="0.35">
      <c r="A96" t="s">
        <v>62</v>
      </c>
      <c r="B96" s="322">
        <f>SUM(B79:B83)+SUM(B88:B90)</f>
        <v>264803.92390207254</v>
      </c>
      <c r="D96" s="322">
        <f>SUM(D79:D83)+SUM(D88:D90)</f>
        <v>8526</v>
      </c>
      <c r="E96" s="322">
        <f>SUM(E79:E83)+SUM(E88:E90)</f>
        <v>224400.92990207253</v>
      </c>
      <c r="G96" s="322">
        <f>SUM(G79:G83)+SUM(G88:G90)</f>
        <v>759306.39</v>
      </c>
      <c r="H96" s="322">
        <f>SUM(H79:H83)+SUM(H88:H90)</f>
        <v>156725.75648227401</v>
      </c>
      <c r="I96" s="322">
        <f>SUM(I79:I83)+SUM(I88:I90)</f>
        <v>602580.63351772609</v>
      </c>
      <c r="J96" s="322"/>
    </row>
    <row r="98" spans="1:8" x14ac:dyDescent="0.35">
      <c r="E98" s="322"/>
    </row>
    <row r="100" spans="1:8" ht="13.15" x14ac:dyDescent="0.4">
      <c r="A100" s="292" t="s">
        <v>423</v>
      </c>
    </row>
    <row r="102" spans="1:8" x14ac:dyDescent="0.35">
      <c r="C102" s="327">
        <v>45809</v>
      </c>
      <c r="D102" s="327">
        <v>45839</v>
      </c>
      <c r="E102" s="327">
        <v>45870</v>
      </c>
      <c r="F102" s="327">
        <v>45901</v>
      </c>
      <c r="G102" s="149" t="s">
        <v>36</v>
      </c>
      <c r="H102" s="149" t="s">
        <v>424</v>
      </c>
    </row>
    <row r="104" spans="1:8" x14ac:dyDescent="0.35">
      <c r="A104" t="s">
        <v>425</v>
      </c>
      <c r="C104" s="328">
        <v>32689909</v>
      </c>
      <c r="D104" s="328">
        <v>37070864</v>
      </c>
      <c r="E104" s="328">
        <v>36034634</v>
      </c>
      <c r="F104" s="328">
        <v>34195017</v>
      </c>
      <c r="G104" s="293">
        <f>SUM(C104:F104)</f>
        <v>139990424</v>
      </c>
      <c r="H104" s="324">
        <f>ROUND(G104/G106,4)</f>
        <v>0.43009999999999998</v>
      </c>
    </row>
    <row r="105" spans="1:8" x14ac:dyDescent="0.35">
      <c r="A105" t="s">
        <v>426</v>
      </c>
      <c r="C105" s="329">
        <v>32528793</v>
      </c>
      <c r="D105" s="329">
        <v>54585676</v>
      </c>
      <c r="E105" s="329">
        <v>56469952</v>
      </c>
      <c r="F105" s="329">
        <v>41941691</v>
      </c>
      <c r="G105" s="295">
        <f>SUM(C105:F105)</f>
        <v>185526112</v>
      </c>
      <c r="H105" s="330">
        <f>ROUND(G105/G106,4)</f>
        <v>0.56989999999999996</v>
      </c>
    </row>
    <row r="106" spans="1:8" x14ac:dyDescent="0.35">
      <c r="A106" t="s">
        <v>36</v>
      </c>
      <c r="C106" s="293">
        <f t="shared" ref="C106:H106" si="24">SUM(C104:C105)</f>
        <v>65218702</v>
      </c>
      <c r="D106" s="293">
        <f t="shared" si="24"/>
        <v>91656540</v>
      </c>
      <c r="E106" s="293">
        <f t="shared" si="24"/>
        <v>92504586</v>
      </c>
      <c r="F106" s="293">
        <f t="shared" si="24"/>
        <v>76136708</v>
      </c>
      <c r="G106" s="293">
        <f t="shared" si="24"/>
        <v>325516536</v>
      </c>
      <c r="H106" s="331">
        <f t="shared" si="24"/>
        <v>1</v>
      </c>
    </row>
    <row r="109" spans="1:8" x14ac:dyDescent="0.35">
      <c r="C109" s="332"/>
      <c r="D109" s="332"/>
      <c r="E109" s="332"/>
      <c r="F109" s="332"/>
    </row>
    <row r="117" spans="2:13" x14ac:dyDescent="0.35">
      <c r="B117" s="293"/>
      <c r="C117" s="293"/>
      <c r="D117" s="293"/>
      <c r="E117" s="293"/>
      <c r="F117" s="293"/>
      <c r="G117" s="293"/>
      <c r="H117" s="293"/>
      <c r="I117" s="293"/>
      <c r="J117" s="293"/>
      <c r="K117" s="293"/>
      <c r="L117" s="293"/>
      <c r="M117" s="293"/>
    </row>
    <row r="119" spans="2:13" x14ac:dyDescent="0.35">
      <c r="B119" s="293"/>
    </row>
    <row r="120" spans="2:13" x14ac:dyDescent="0.35">
      <c r="B120" s="293"/>
    </row>
    <row r="121" spans="2:13" x14ac:dyDescent="0.35">
      <c r="B121" s="293"/>
    </row>
    <row r="122" spans="2:13" x14ac:dyDescent="0.35">
      <c r="B122" s="293"/>
    </row>
    <row r="123" spans="2:13" x14ac:dyDescent="0.35">
      <c r="B123" s="293"/>
    </row>
    <row r="124" spans="2:13" x14ac:dyDescent="0.35">
      <c r="B124" s="293"/>
    </row>
    <row r="125" spans="2:13" x14ac:dyDescent="0.35">
      <c r="B125" s="293"/>
    </row>
    <row r="126" spans="2:13" x14ac:dyDescent="0.35">
      <c r="B126" s="293"/>
    </row>
    <row r="127" spans="2:13" x14ac:dyDescent="0.35">
      <c r="B127" s="293"/>
    </row>
    <row r="128" spans="2:13" x14ac:dyDescent="0.35">
      <c r="B128" s="293"/>
    </row>
    <row r="129" spans="2:2" x14ac:dyDescent="0.35">
      <c r="B129" s="293"/>
    </row>
    <row r="130" spans="2:2" x14ac:dyDescent="0.35">
      <c r="B130" s="293"/>
    </row>
  </sheetData>
  <pageMargins left="0.62" right="0.18" top="0.54" bottom="0.19" header="0.18" footer="0.19"/>
  <pageSetup scale="63" orientation="landscape" r:id="rId1"/>
  <headerFooter alignWithMargins="0">
    <oddFooter>&amp;C_x000D_&amp;1#&amp;"Aptos"&amp;22&amp;K0073CF INTERNAL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C28CB-E361-486C-B3DF-92DBAB021B77}">
  <sheetPr>
    <pageSetUpPr fitToPage="1"/>
  </sheetPr>
  <dimension ref="A1:J31"/>
  <sheetViews>
    <sheetView showWhiteSpace="0" view="pageBreakPreview" zoomScaleNormal="100" zoomScaleSheetLayoutView="100" workbookViewId="0"/>
  </sheetViews>
  <sheetFormatPr defaultColWidth="9.1328125" defaultRowHeight="12.75" x14ac:dyDescent="0.35"/>
  <cols>
    <col min="1" max="1" width="3.265625" style="333" bestFit="1" customWidth="1"/>
    <col min="2" max="2" width="81.1328125" style="333" customWidth="1"/>
    <col min="3" max="3" width="14" style="333" bestFit="1" customWidth="1"/>
    <col min="4" max="7" width="9.1328125" style="333"/>
    <col min="8" max="8" width="12.3984375" style="333" customWidth="1"/>
    <col min="9" max="16384" width="9.1328125" style="333"/>
  </cols>
  <sheetData>
    <row r="1" spans="1:10" ht="13.15" x14ac:dyDescent="0.35">
      <c r="D1" s="383"/>
      <c r="E1" s="383"/>
      <c r="F1" s="383"/>
      <c r="G1" s="383"/>
      <c r="H1" s="383"/>
      <c r="I1" s="383"/>
      <c r="J1" s="383"/>
    </row>
    <row r="3" spans="1:10" ht="15" x14ac:dyDescent="0.4">
      <c r="B3" s="334" t="s">
        <v>427</v>
      </c>
    </row>
    <row r="4" spans="1:10" ht="15" x14ac:dyDescent="0.4">
      <c r="B4" s="334" t="s">
        <v>428</v>
      </c>
    </row>
    <row r="5" spans="1:10" ht="89.25" x14ac:dyDescent="0.4">
      <c r="B5" s="334" t="s">
        <v>428</v>
      </c>
      <c r="C5" s="335" t="s">
        <v>429</v>
      </c>
    </row>
    <row r="6" spans="1:10" ht="25.5" x14ac:dyDescent="0.35">
      <c r="C6" s="336" t="s">
        <v>430</v>
      </c>
      <c r="D6" s="337" t="s">
        <v>289</v>
      </c>
    </row>
    <row r="7" spans="1:10" ht="13.15" x14ac:dyDescent="0.4">
      <c r="A7" s="333">
        <v>1</v>
      </c>
      <c r="B7" s="338" t="s">
        <v>431</v>
      </c>
      <c r="C7" s="339">
        <v>333.69</v>
      </c>
      <c r="D7" s="340" t="s">
        <v>432</v>
      </c>
    </row>
    <row r="8" spans="1:10" ht="13.15" x14ac:dyDescent="0.4">
      <c r="A8" s="333">
        <v>2</v>
      </c>
      <c r="B8" s="338" t="s">
        <v>433</v>
      </c>
      <c r="C8" s="341">
        <v>270.35000000000002</v>
      </c>
      <c r="D8" s="371" t="s">
        <v>434</v>
      </c>
      <c r="E8" s="340"/>
      <c r="F8" s="340"/>
      <c r="G8" s="340"/>
    </row>
    <row r="9" spans="1:10" x14ac:dyDescent="0.35">
      <c r="C9" s="336"/>
      <c r="D9" s="337"/>
    </row>
    <row r="10" spans="1:10" ht="13.15" x14ac:dyDescent="0.4">
      <c r="A10" s="333">
        <v>3</v>
      </c>
      <c r="B10" s="338" t="s">
        <v>435</v>
      </c>
      <c r="C10" s="342">
        <f>C7-C8</f>
        <v>63.339999999999975</v>
      </c>
      <c r="D10" s="340" t="s">
        <v>436</v>
      </c>
    </row>
    <row r="11" spans="1:10" ht="13.15" x14ac:dyDescent="0.4">
      <c r="A11" s="333">
        <v>4</v>
      </c>
      <c r="B11" s="338" t="s">
        <v>437</v>
      </c>
      <c r="C11" s="343">
        <f>'BGS Cost &amp; Bid Factors'!I139</f>
        <v>361.66099999999994</v>
      </c>
    </row>
    <row r="12" spans="1:10" ht="13.15" x14ac:dyDescent="0.4">
      <c r="A12" s="333">
        <v>5</v>
      </c>
      <c r="B12" s="338" t="s">
        <v>438</v>
      </c>
      <c r="C12" s="344">
        <v>366</v>
      </c>
    </row>
    <row r="13" spans="1:10" ht="13.15" x14ac:dyDescent="0.4">
      <c r="A13" s="333">
        <v>6</v>
      </c>
      <c r="B13" s="338" t="s">
        <v>439</v>
      </c>
      <c r="C13" s="345">
        <f>C10*C11*C12</f>
        <v>8384184.4328399962</v>
      </c>
      <c r="D13" s="340" t="s">
        <v>440</v>
      </c>
    </row>
    <row r="14" spans="1:10" ht="13.15" x14ac:dyDescent="0.4">
      <c r="B14" s="338"/>
      <c r="C14" s="346"/>
      <c r="D14" s="340"/>
    </row>
    <row r="15" spans="1:10" ht="13.15" x14ac:dyDescent="0.4">
      <c r="A15" s="333">
        <v>7</v>
      </c>
      <c r="B15" s="338" t="s">
        <v>441</v>
      </c>
      <c r="C15" s="157">
        <v>1</v>
      </c>
      <c r="D15" s="340" t="s">
        <v>442</v>
      </c>
    </row>
    <row r="16" spans="1:10" ht="13.15" x14ac:dyDescent="0.4">
      <c r="A16" s="333">
        <v>8</v>
      </c>
      <c r="B16" s="338" t="s">
        <v>443</v>
      </c>
      <c r="C16" s="347">
        <v>4</v>
      </c>
      <c r="D16" s="340" t="s">
        <v>442</v>
      </c>
    </row>
    <row r="17" spans="1:4" ht="13.15" x14ac:dyDescent="0.4">
      <c r="A17" s="333">
        <v>9</v>
      </c>
      <c r="B17" s="338" t="s">
        <v>444</v>
      </c>
      <c r="C17" s="26">
        <f>+C15/C16</f>
        <v>0.25</v>
      </c>
      <c r="D17" s="340" t="s">
        <v>445</v>
      </c>
    </row>
    <row r="18" spans="1:4" ht="13.15" x14ac:dyDescent="0.4">
      <c r="B18" s="338"/>
      <c r="C18" s="346"/>
      <c r="D18" s="340"/>
    </row>
    <row r="19" spans="1:4" ht="13.15" x14ac:dyDescent="0.4">
      <c r="A19" s="333">
        <v>10</v>
      </c>
      <c r="B19" s="338" t="s">
        <v>446</v>
      </c>
      <c r="C19" s="346">
        <f>C13*C17</f>
        <v>2096046.108209999</v>
      </c>
      <c r="D19" s="340" t="s">
        <v>447</v>
      </c>
    </row>
    <row r="20" spans="1:4" ht="13.15" x14ac:dyDescent="0.4">
      <c r="B20" s="338"/>
      <c r="C20" s="346"/>
      <c r="D20" s="340"/>
    </row>
    <row r="21" spans="1:4" ht="13.15" x14ac:dyDescent="0.4">
      <c r="A21" s="333">
        <v>11</v>
      </c>
      <c r="B21" s="338" t="s">
        <v>448</v>
      </c>
      <c r="C21" s="348">
        <f>'Weighted Avg Price Calc'!D26</f>
        <v>1066620.951647338</v>
      </c>
    </row>
    <row r="22" spans="1:4" ht="13.15" x14ac:dyDescent="0.4">
      <c r="A22" s="333">
        <v>12</v>
      </c>
      <c r="B22" s="338" t="s">
        <v>449</v>
      </c>
      <c r="C22" s="344">
        <f>C21*C17</f>
        <v>266655.2379118345</v>
      </c>
      <c r="D22" s="340" t="s">
        <v>450</v>
      </c>
    </row>
    <row r="23" spans="1:4" ht="13.15" x14ac:dyDescent="0.4">
      <c r="B23" s="338"/>
      <c r="C23" s="346"/>
      <c r="D23" s="340"/>
    </row>
    <row r="24" spans="1:4" ht="13.5" thickBot="1" x14ac:dyDescent="0.45">
      <c r="A24" s="333">
        <v>13</v>
      </c>
      <c r="B24" s="338" t="s">
        <v>451</v>
      </c>
      <c r="C24" s="349">
        <f>ROUND(+C19/C22,2)</f>
        <v>7.86</v>
      </c>
      <c r="D24" s="350" t="s">
        <v>452</v>
      </c>
    </row>
    <row r="25" spans="1:4" ht="13.5" thickTop="1" x14ac:dyDescent="0.4">
      <c r="B25" s="338"/>
      <c r="C25" s="346"/>
      <c r="D25" s="340"/>
    </row>
    <row r="26" spans="1:4" ht="13.15" x14ac:dyDescent="0.4">
      <c r="B26" s="338"/>
      <c r="C26" s="346"/>
      <c r="D26" s="340"/>
    </row>
    <row r="27" spans="1:4" ht="13.15" x14ac:dyDescent="0.4">
      <c r="B27" s="338"/>
      <c r="C27" s="346"/>
      <c r="D27" s="340"/>
    </row>
    <row r="29" spans="1:4" x14ac:dyDescent="0.35">
      <c r="C29" s="348"/>
    </row>
    <row r="31" spans="1:4" ht="13.15" x14ac:dyDescent="0.4">
      <c r="B31" s="338"/>
      <c r="C31" s="339"/>
      <c r="D31" s="340"/>
    </row>
  </sheetData>
  <mergeCells count="1">
    <mergeCell ref="D1:J1"/>
  </mergeCells>
  <printOptions horizontalCentered="1"/>
  <pageMargins left="0.5" right="0.5" top="0.5" bottom="0.5" header="0.5" footer="0.5"/>
  <pageSetup scale="83" orientation="landscape" r:id="rId1"/>
  <headerFooter differentOddEven="1" scaleWithDoc="0" alignWithMargins="0">
    <oddHeader xml:space="preserve">&amp;R&amp;"Arial,Bold"Attachment D&amp;"Arial,Regular"
Page 2 of 6
</oddHeader>
    <oddFooter>&amp;C_x000D_&amp;1#&amp;"Aptos"&amp;22&amp;K0073CF INTERNAL</oddFooter>
    <evenFooter>&amp;C_x000D_&amp;1#&amp;"Aptos"&amp;22&amp;K0073CF INTERNAL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D7FA7-A596-4C27-B780-6BE2282340D0}">
  <sheetPr>
    <pageSetUpPr fitToPage="1"/>
  </sheetPr>
  <dimension ref="A1:K31"/>
  <sheetViews>
    <sheetView showWhiteSpace="0" view="pageBreakPreview" zoomScaleNormal="100" zoomScaleSheetLayoutView="100" workbookViewId="0"/>
  </sheetViews>
  <sheetFormatPr defaultColWidth="9.1328125" defaultRowHeight="12.75" x14ac:dyDescent="0.35"/>
  <cols>
    <col min="1" max="1" width="3.265625" style="333" bestFit="1" customWidth="1"/>
    <col min="2" max="2" width="81.1328125" style="333" customWidth="1"/>
    <col min="3" max="3" width="14" style="333" bestFit="1" customWidth="1"/>
    <col min="4" max="4" width="14" style="333" customWidth="1"/>
    <col min="5" max="8" width="9.1328125" style="333"/>
    <col min="9" max="9" width="12.3984375" style="333" customWidth="1"/>
    <col min="10" max="16384" width="9.1328125" style="333"/>
  </cols>
  <sheetData>
    <row r="1" spans="1:11" ht="13.15" x14ac:dyDescent="0.35">
      <c r="E1" s="383"/>
      <c r="F1" s="383"/>
      <c r="G1" s="383"/>
      <c r="H1" s="383"/>
      <c r="I1" s="383"/>
      <c r="J1" s="383"/>
      <c r="K1" s="383"/>
    </row>
    <row r="3" spans="1:11" ht="15" x14ac:dyDescent="0.4">
      <c r="B3" s="334" t="s">
        <v>427</v>
      </c>
    </row>
    <row r="4" spans="1:11" ht="15" x14ac:dyDescent="0.4">
      <c r="B4" s="334" t="s">
        <v>453</v>
      </c>
    </row>
    <row r="5" spans="1:11" ht="102" x14ac:dyDescent="0.4">
      <c r="B5" s="334" t="s">
        <v>453</v>
      </c>
      <c r="C5" s="335" t="s">
        <v>454</v>
      </c>
      <c r="D5" s="335" t="s">
        <v>455</v>
      </c>
    </row>
    <row r="6" spans="1:11" ht="25.5" x14ac:dyDescent="0.35">
      <c r="C6" s="336" t="s">
        <v>456</v>
      </c>
      <c r="D6" s="336" t="str">
        <f>C6</f>
        <v>2028/29
Delivery Year</v>
      </c>
      <c r="E6" s="337" t="s">
        <v>289</v>
      </c>
    </row>
    <row r="7" spans="1:11" ht="13.15" x14ac:dyDescent="0.4">
      <c r="A7" s="333">
        <v>1</v>
      </c>
      <c r="B7" s="338" t="s">
        <v>431</v>
      </c>
      <c r="C7" s="339">
        <v>335</v>
      </c>
      <c r="D7" s="339">
        <f>C7</f>
        <v>335</v>
      </c>
      <c r="E7" s="340" t="s">
        <v>432</v>
      </c>
    </row>
    <row r="8" spans="1:11" ht="13.15" x14ac:dyDescent="0.4">
      <c r="A8" s="333">
        <v>2</v>
      </c>
      <c r="B8" s="338" t="s">
        <v>433</v>
      </c>
      <c r="C8" s="341">
        <v>333.69</v>
      </c>
      <c r="D8" s="341">
        <f>C8</f>
        <v>333.69</v>
      </c>
      <c r="E8" s="340" t="s">
        <v>457</v>
      </c>
      <c r="F8" s="340"/>
      <c r="G8" s="340"/>
      <c r="H8" s="340"/>
    </row>
    <row r="9" spans="1:11" x14ac:dyDescent="0.35">
      <c r="C9" s="336"/>
      <c r="D9" s="336"/>
      <c r="E9" s="337"/>
    </row>
    <row r="10" spans="1:11" ht="13.15" x14ac:dyDescent="0.4">
      <c r="A10" s="333">
        <v>3</v>
      </c>
      <c r="B10" s="338" t="s">
        <v>435</v>
      </c>
      <c r="C10" s="342">
        <f>C7-C8</f>
        <v>1.3100000000000023</v>
      </c>
      <c r="D10" s="342">
        <f>D7-D8</f>
        <v>1.3100000000000023</v>
      </c>
      <c r="E10" s="340" t="s">
        <v>436</v>
      </c>
    </row>
    <row r="11" spans="1:11" ht="13.15" x14ac:dyDescent="0.4">
      <c r="A11" s="333">
        <v>4</v>
      </c>
      <c r="B11" s="338" t="s">
        <v>437</v>
      </c>
      <c r="C11" s="343">
        <f>'Attachment D-4 (EY27-28)'!C11</f>
        <v>361.66099999999994</v>
      </c>
      <c r="D11" s="343">
        <f>C11</f>
        <v>361.66099999999994</v>
      </c>
    </row>
    <row r="12" spans="1:11" ht="13.15" x14ac:dyDescent="0.4">
      <c r="A12" s="333">
        <v>5</v>
      </c>
      <c r="B12" s="338" t="s">
        <v>438</v>
      </c>
      <c r="C12" s="344">
        <v>365</v>
      </c>
      <c r="D12" s="344">
        <v>365</v>
      </c>
    </row>
    <row r="13" spans="1:11" ht="13.15" x14ac:dyDescent="0.4">
      <c r="A13" s="333">
        <v>6</v>
      </c>
      <c r="B13" s="338" t="s">
        <v>439</v>
      </c>
      <c r="C13" s="345">
        <f>C10*C11*C12</f>
        <v>172928.20715000026</v>
      </c>
      <c r="D13" s="345">
        <f>D10*D11*D12</f>
        <v>172928.20715000026</v>
      </c>
      <c r="E13" s="340" t="s">
        <v>440</v>
      </c>
    </row>
    <row r="14" spans="1:11" ht="13.15" x14ac:dyDescent="0.4">
      <c r="B14" s="338"/>
      <c r="C14" s="346"/>
      <c r="D14" s="346"/>
      <c r="E14" s="340"/>
    </row>
    <row r="15" spans="1:11" ht="13.15" x14ac:dyDescent="0.4">
      <c r="A15" s="333">
        <v>7</v>
      </c>
      <c r="B15" s="338" t="s">
        <v>441</v>
      </c>
      <c r="C15" s="157">
        <v>2</v>
      </c>
      <c r="D15" s="157">
        <v>1</v>
      </c>
      <c r="E15" s="340" t="s">
        <v>442</v>
      </c>
    </row>
    <row r="16" spans="1:11" ht="13.15" x14ac:dyDescent="0.4">
      <c r="A16" s="333">
        <v>8</v>
      </c>
      <c r="B16" s="338" t="s">
        <v>443</v>
      </c>
      <c r="C16" s="347">
        <v>4</v>
      </c>
      <c r="D16" s="347">
        <v>4</v>
      </c>
      <c r="E16" s="340" t="s">
        <v>442</v>
      </c>
    </row>
    <row r="17" spans="1:5" ht="13.15" x14ac:dyDescent="0.4">
      <c r="A17" s="333">
        <v>9</v>
      </c>
      <c r="B17" s="338" t="s">
        <v>444</v>
      </c>
      <c r="C17" s="26">
        <f>+C15/C16</f>
        <v>0.5</v>
      </c>
      <c r="D17" s="26">
        <f>+D15/D16</f>
        <v>0.25</v>
      </c>
      <c r="E17" s="340" t="s">
        <v>445</v>
      </c>
    </row>
    <row r="18" spans="1:5" ht="13.15" x14ac:dyDescent="0.4">
      <c r="B18" s="338"/>
      <c r="C18" s="346"/>
      <c r="D18" s="346"/>
      <c r="E18" s="340"/>
    </row>
    <row r="19" spans="1:5" ht="13.15" x14ac:dyDescent="0.4">
      <c r="A19" s="333">
        <v>10</v>
      </c>
      <c r="B19" s="338" t="s">
        <v>446</v>
      </c>
      <c r="C19" s="346">
        <f>C13*C17</f>
        <v>86464.103575000132</v>
      </c>
      <c r="D19" s="346">
        <f>D13*D17</f>
        <v>43232.051787500066</v>
      </c>
      <c r="E19" s="340" t="s">
        <v>447</v>
      </c>
    </row>
    <row r="20" spans="1:5" ht="13.15" x14ac:dyDescent="0.4">
      <c r="B20" s="338"/>
      <c r="C20" s="346"/>
      <c r="D20" s="346"/>
      <c r="E20" s="340"/>
    </row>
    <row r="21" spans="1:5" ht="13.15" x14ac:dyDescent="0.4">
      <c r="A21" s="333">
        <v>11</v>
      </c>
      <c r="B21" s="338" t="s">
        <v>448</v>
      </c>
      <c r="C21" s="348">
        <f>'Weighted Avg Price Calc'!D26</f>
        <v>1066620.951647338</v>
      </c>
      <c r="D21" s="348">
        <f>C21</f>
        <v>1066620.951647338</v>
      </c>
    </row>
    <row r="22" spans="1:5" ht="13.15" x14ac:dyDescent="0.4">
      <c r="A22" s="333">
        <v>12</v>
      </c>
      <c r="B22" s="338" t="s">
        <v>449</v>
      </c>
      <c r="C22" s="344">
        <f>C21*C17</f>
        <v>533310.475823669</v>
      </c>
      <c r="D22" s="344">
        <f>D21*D17</f>
        <v>266655.2379118345</v>
      </c>
      <c r="E22" s="340" t="s">
        <v>450</v>
      </c>
    </row>
    <row r="23" spans="1:5" ht="13.15" x14ac:dyDescent="0.4">
      <c r="B23" s="338"/>
      <c r="C23" s="346"/>
      <c r="D23" s="346"/>
      <c r="E23" s="340"/>
    </row>
    <row r="24" spans="1:5" ht="13.5" thickBot="1" x14ac:dyDescent="0.45">
      <c r="A24" s="333">
        <v>13</v>
      </c>
      <c r="B24" s="338" t="s">
        <v>451</v>
      </c>
      <c r="C24" s="349">
        <f>ROUND(+C19/C22,2)</f>
        <v>0.16</v>
      </c>
      <c r="D24" s="349">
        <f>ROUND(+D19/D22,2)</f>
        <v>0.16</v>
      </c>
      <c r="E24" s="350" t="s">
        <v>452</v>
      </c>
    </row>
    <row r="25" spans="1:5" ht="13.5" thickTop="1" x14ac:dyDescent="0.4">
      <c r="B25" s="338"/>
      <c r="C25" s="346"/>
      <c r="D25" s="346"/>
      <c r="E25" s="340"/>
    </row>
    <row r="26" spans="1:5" ht="13.15" x14ac:dyDescent="0.4">
      <c r="B26" s="338"/>
      <c r="C26" s="346"/>
      <c r="D26" s="346"/>
      <c r="E26" s="340"/>
    </row>
    <row r="27" spans="1:5" ht="13.15" x14ac:dyDescent="0.4">
      <c r="B27" s="338"/>
      <c r="C27" s="346"/>
      <c r="D27" s="346"/>
      <c r="E27" s="340"/>
    </row>
    <row r="29" spans="1:5" x14ac:dyDescent="0.35">
      <c r="C29" s="348"/>
      <c r="D29" s="348"/>
    </row>
    <row r="31" spans="1:5" ht="13.15" x14ac:dyDescent="0.4">
      <c r="B31" s="338"/>
      <c r="C31" s="339"/>
      <c r="D31" s="339"/>
      <c r="E31" s="340"/>
    </row>
  </sheetData>
  <mergeCells count="1">
    <mergeCell ref="E1:K1"/>
  </mergeCells>
  <printOptions horizontalCentered="1"/>
  <pageMargins left="0.5" right="0.5" top="0.5" bottom="0.5" header="0.5" footer="0.5"/>
  <pageSetup scale="76" orientation="landscape" r:id="rId1"/>
  <headerFooter differentOddEven="1" scaleWithDoc="0" alignWithMargins="0">
    <oddHeader xml:space="preserve">&amp;R&amp;"Arial,Bold"Attachment D&amp;"Arial,Regular"
Page 2 of 6
</oddHeader>
    <oddFooter>&amp;C_x000D_&amp;1#&amp;"Aptos"&amp;22&amp;K0073CF INTERNAL</oddFooter>
    <evenFooter>&amp;C_x000D_&amp;1#&amp;"Aptos"&amp;22&amp;K0073CF INTERNAL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A14E9-1B87-40D5-A705-0C19DF192FA7}">
  <sheetPr>
    <pageSetUpPr fitToPage="1"/>
  </sheetPr>
  <dimension ref="A1:J31"/>
  <sheetViews>
    <sheetView showWhiteSpace="0" view="pageBreakPreview" zoomScaleNormal="100" zoomScaleSheetLayoutView="100" workbookViewId="0"/>
  </sheetViews>
  <sheetFormatPr defaultColWidth="9.1328125" defaultRowHeight="12.75" x14ac:dyDescent="0.35"/>
  <cols>
    <col min="1" max="1" width="3.265625" style="333" bestFit="1" customWidth="1"/>
    <col min="2" max="2" width="81.1328125" style="333" customWidth="1"/>
    <col min="3" max="3" width="14" style="333" bestFit="1" customWidth="1"/>
    <col min="4" max="7" width="9.1328125" style="333"/>
    <col min="8" max="8" width="12.3984375" style="333" customWidth="1"/>
    <col min="9" max="16384" width="9.1328125" style="333"/>
  </cols>
  <sheetData>
    <row r="1" spans="1:10" ht="13.15" x14ac:dyDescent="0.35">
      <c r="D1" s="383"/>
      <c r="E1" s="383"/>
      <c r="F1" s="383"/>
      <c r="G1" s="383"/>
      <c r="H1" s="383"/>
      <c r="I1" s="383"/>
      <c r="J1" s="383"/>
    </row>
    <row r="3" spans="1:10" ht="15" x14ac:dyDescent="0.4">
      <c r="B3" s="334" t="s">
        <v>427</v>
      </c>
    </row>
    <row r="4" spans="1:10" ht="15" x14ac:dyDescent="0.4">
      <c r="B4" s="334" t="s">
        <v>461</v>
      </c>
    </row>
    <row r="5" spans="1:10" ht="102" x14ac:dyDescent="0.4">
      <c r="B5" s="334" t="s">
        <v>461</v>
      </c>
      <c r="C5" s="335" t="s">
        <v>455</v>
      </c>
    </row>
    <row r="6" spans="1:10" ht="25.5" x14ac:dyDescent="0.35">
      <c r="C6" s="336" t="s">
        <v>462</v>
      </c>
      <c r="D6" s="337" t="s">
        <v>289</v>
      </c>
    </row>
    <row r="7" spans="1:10" ht="13.15" x14ac:dyDescent="0.4">
      <c r="A7" s="333">
        <v>1</v>
      </c>
      <c r="B7" s="338" t="s">
        <v>431</v>
      </c>
      <c r="C7" s="339">
        <v>335</v>
      </c>
      <c r="D7" s="340" t="s">
        <v>432</v>
      </c>
    </row>
    <row r="8" spans="1:10" ht="13.15" x14ac:dyDescent="0.4">
      <c r="A8" s="333">
        <v>2</v>
      </c>
      <c r="B8" s="338" t="s">
        <v>433</v>
      </c>
      <c r="C8" s="341">
        <v>333.69</v>
      </c>
      <c r="D8" s="340" t="s">
        <v>463</v>
      </c>
      <c r="E8" s="340"/>
      <c r="F8" s="340"/>
      <c r="G8" s="340"/>
    </row>
    <row r="9" spans="1:10" x14ac:dyDescent="0.35">
      <c r="C9" s="336"/>
      <c r="D9" s="337"/>
    </row>
    <row r="10" spans="1:10" ht="13.15" x14ac:dyDescent="0.4">
      <c r="A10" s="333">
        <v>3</v>
      </c>
      <c r="B10" s="338" t="s">
        <v>435</v>
      </c>
      <c r="C10" s="342">
        <f>C7-C8</f>
        <v>1.3100000000000023</v>
      </c>
      <c r="D10" s="340" t="s">
        <v>436</v>
      </c>
    </row>
    <row r="11" spans="1:10" ht="13.15" x14ac:dyDescent="0.4">
      <c r="A11" s="333">
        <v>4</v>
      </c>
      <c r="B11" s="338" t="s">
        <v>437</v>
      </c>
      <c r="C11" s="343">
        <f>'Attachment D-4 (EY27-28)'!C11</f>
        <v>361.66099999999994</v>
      </c>
    </row>
    <row r="12" spans="1:10" ht="13.15" x14ac:dyDescent="0.4">
      <c r="A12" s="333">
        <v>5</v>
      </c>
      <c r="B12" s="338" t="s">
        <v>438</v>
      </c>
      <c r="C12" s="344">
        <v>365</v>
      </c>
    </row>
    <row r="13" spans="1:10" ht="13.15" x14ac:dyDescent="0.4">
      <c r="A13" s="333">
        <v>6</v>
      </c>
      <c r="B13" s="338" t="s">
        <v>439</v>
      </c>
      <c r="C13" s="345">
        <f>C10*C11*C12</f>
        <v>172928.20715000026</v>
      </c>
      <c r="D13" s="340" t="s">
        <v>440</v>
      </c>
    </row>
    <row r="14" spans="1:10" ht="13.15" x14ac:dyDescent="0.4">
      <c r="B14" s="338"/>
      <c r="C14" s="346"/>
      <c r="D14" s="340"/>
    </row>
    <row r="15" spans="1:10" ht="13.15" x14ac:dyDescent="0.4">
      <c r="A15" s="333">
        <v>7</v>
      </c>
      <c r="B15" s="338" t="s">
        <v>441</v>
      </c>
      <c r="C15" s="157">
        <v>1</v>
      </c>
      <c r="D15" s="340" t="s">
        <v>442</v>
      </c>
    </row>
    <row r="16" spans="1:10" ht="13.15" x14ac:dyDescent="0.4">
      <c r="A16" s="333">
        <v>8</v>
      </c>
      <c r="B16" s="338" t="s">
        <v>443</v>
      </c>
      <c r="C16" s="347">
        <v>4</v>
      </c>
      <c r="D16" s="340" t="s">
        <v>442</v>
      </c>
    </row>
    <row r="17" spans="1:4" ht="13.15" x14ac:dyDescent="0.4">
      <c r="A17" s="333">
        <v>9</v>
      </c>
      <c r="B17" s="338" t="s">
        <v>444</v>
      </c>
      <c r="C17" s="26">
        <f>+C15/C16</f>
        <v>0.25</v>
      </c>
      <c r="D17" s="340" t="s">
        <v>445</v>
      </c>
    </row>
    <row r="18" spans="1:4" ht="13.15" x14ac:dyDescent="0.4">
      <c r="B18" s="338"/>
      <c r="C18" s="346"/>
      <c r="D18" s="340"/>
    </row>
    <row r="19" spans="1:4" ht="13.15" x14ac:dyDescent="0.4">
      <c r="A19" s="333">
        <v>10</v>
      </c>
      <c r="B19" s="338" t="s">
        <v>446</v>
      </c>
      <c r="C19" s="346">
        <f>C13*C17</f>
        <v>43232.051787500066</v>
      </c>
      <c r="D19" s="340" t="s">
        <v>447</v>
      </c>
    </row>
    <row r="20" spans="1:4" ht="13.15" x14ac:dyDescent="0.4">
      <c r="B20" s="338"/>
      <c r="C20" s="346"/>
      <c r="D20" s="340"/>
    </row>
    <row r="21" spans="1:4" ht="13.15" x14ac:dyDescent="0.4">
      <c r="A21" s="333">
        <v>11</v>
      </c>
      <c r="B21" s="338" t="s">
        <v>448</v>
      </c>
      <c r="C21" s="348">
        <f>'Weighted Avg Price Calc'!D26</f>
        <v>1066620.951647338</v>
      </c>
    </row>
    <row r="22" spans="1:4" ht="13.15" x14ac:dyDescent="0.4">
      <c r="A22" s="333">
        <v>12</v>
      </c>
      <c r="B22" s="338" t="s">
        <v>449</v>
      </c>
      <c r="C22" s="344">
        <f>C21*C17</f>
        <v>266655.2379118345</v>
      </c>
      <c r="D22" s="340" t="s">
        <v>450</v>
      </c>
    </row>
    <row r="23" spans="1:4" ht="13.15" x14ac:dyDescent="0.4">
      <c r="B23" s="338"/>
      <c r="C23" s="346"/>
      <c r="D23" s="340"/>
    </row>
    <row r="24" spans="1:4" ht="13.5" thickBot="1" x14ac:dyDescent="0.45">
      <c r="A24" s="333">
        <v>13</v>
      </c>
      <c r="B24" s="338" t="s">
        <v>451</v>
      </c>
      <c r="C24" s="349">
        <f>ROUND(+C19/C22,2)</f>
        <v>0.16</v>
      </c>
      <c r="D24" s="350" t="s">
        <v>452</v>
      </c>
    </row>
    <row r="25" spans="1:4" ht="13.5" thickTop="1" x14ac:dyDescent="0.4">
      <c r="B25" s="338"/>
      <c r="C25" s="346"/>
      <c r="D25" s="340"/>
    </row>
    <row r="26" spans="1:4" ht="13.15" x14ac:dyDescent="0.4">
      <c r="B26" s="338"/>
      <c r="C26" s="346"/>
      <c r="D26" s="340"/>
    </row>
    <row r="27" spans="1:4" ht="13.15" x14ac:dyDescent="0.4">
      <c r="B27" s="338"/>
      <c r="C27" s="346"/>
      <c r="D27" s="340"/>
    </row>
    <row r="29" spans="1:4" x14ac:dyDescent="0.35">
      <c r="C29" s="348"/>
    </row>
    <row r="31" spans="1:4" ht="13.15" x14ac:dyDescent="0.4">
      <c r="B31" s="338"/>
      <c r="C31" s="339"/>
      <c r="D31" s="340"/>
    </row>
  </sheetData>
  <mergeCells count="1">
    <mergeCell ref="D1:J1"/>
  </mergeCells>
  <printOptions horizontalCentered="1"/>
  <pageMargins left="0.5" right="0.5" top="0.5" bottom="0.5" header="0.5" footer="0.5"/>
  <pageSetup scale="83" orientation="landscape" r:id="rId1"/>
  <headerFooter differentOddEven="1" scaleWithDoc="0" alignWithMargins="0">
    <oddHeader xml:space="preserve">&amp;R&amp;"Arial,Bold"Attachment D&amp;"Arial,Regular"
Page 2 of 6
</oddHeader>
    <oddFooter>&amp;C_x000D_&amp;1#&amp;"Aptos"&amp;22&amp;K0073CF INTERNAL</oddFooter>
    <evenFooter>&amp;C_x000D_&amp;1#&amp;"Aptos"&amp;22&amp;K0073CF INTERNAL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9235D-CEC7-4735-93D1-198114B39CF1}">
  <sheetPr>
    <pageSetUpPr fitToPage="1"/>
  </sheetPr>
  <dimension ref="A1:N51"/>
  <sheetViews>
    <sheetView view="pageBreakPreview" zoomScaleNormal="100" zoomScaleSheetLayoutView="100" workbookViewId="0"/>
  </sheetViews>
  <sheetFormatPr defaultColWidth="9.1328125" defaultRowHeight="12.75" x14ac:dyDescent="0.35"/>
  <cols>
    <col min="1" max="1" width="9.1328125" style="333"/>
    <col min="2" max="2" width="4.73046875" style="333" customWidth="1"/>
    <col min="3" max="3" width="30.86328125" style="333" customWidth="1"/>
    <col min="4" max="6" width="9.59765625" style="333" customWidth="1"/>
    <col min="7" max="7" width="9.86328125" style="333" customWidth="1"/>
    <col min="8" max="8" width="1.73046875" style="333" customWidth="1"/>
    <col min="9" max="13" width="9.1328125" style="333"/>
    <col min="14" max="14" width="12.86328125" style="333" customWidth="1"/>
    <col min="15" max="17" width="9.1328125" style="333"/>
    <col min="18" max="18" width="13.1328125" style="333" customWidth="1"/>
    <col min="19" max="16384" width="9.1328125" style="333"/>
  </cols>
  <sheetData>
    <row r="1" spans="1:9" ht="13.15" x14ac:dyDescent="0.4">
      <c r="A1" s="351" t="s">
        <v>282</v>
      </c>
    </row>
    <row r="2" spans="1:9" ht="13.15" x14ac:dyDescent="0.4">
      <c r="A2" s="338" t="s">
        <v>458</v>
      </c>
    </row>
    <row r="3" spans="1:9" x14ac:dyDescent="0.35">
      <c r="A3" s="369" t="s">
        <v>465</v>
      </c>
    </row>
    <row r="4" spans="1:9" s="352" customFormat="1" ht="13.15" x14ac:dyDescent="0.4">
      <c r="A4" s="338" t="s">
        <v>283</v>
      </c>
      <c r="B4" s="338" t="s">
        <v>284</v>
      </c>
    </row>
    <row r="5" spans="1:9" s="352" customFormat="1" ht="10.15" x14ac:dyDescent="0.3"/>
    <row r="6" spans="1:9" s="352" customFormat="1" ht="10.15" x14ac:dyDescent="0.3">
      <c r="D6" s="353">
        <v>2026</v>
      </c>
      <c r="E6" s="353">
        <v>2027</v>
      </c>
      <c r="F6" s="353">
        <v>2028</v>
      </c>
    </row>
    <row r="7" spans="1:9" s="352" customFormat="1" ht="10.15" x14ac:dyDescent="0.3">
      <c r="D7" s="353" t="s">
        <v>285</v>
      </c>
      <c r="E7" s="353" t="s">
        <v>285</v>
      </c>
      <c r="F7" s="353" t="s">
        <v>285</v>
      </c>
    </row>
    <row r="8" spans="1:9" s="352" customFormat="1" ht="10.15" x14ac:dyDescent="0.3">
      <c r="B8" s="354" t="s">
        <v>286</v>
      </c>
      <c r="C8" s="354" t="s">
        <v>287</v>
      </c>
      <c r="D8" s="355" t="s">
        <v>288</v>
      </c>
      <c r="E8" s="355" t="s">
        <v>288</v>
      </c>
      <c r="F8" s="355" t="s">
        <v>288</v>
      </c>
      <c r="G8" s="356" t="s">
        <v>36</v>
      </c>
      <c r="I8" s="354" t="s">
        <v>289</v>
      </c>
    </row>
    <row r="9" spans="1:9" s="352" customFormat="1" ht="10.15" x14ac:dyDescent="0.3">
      <c r="B9" s="353">
        <v>1</v>
      </c>
      <c r="C9" s="352" t="s">
        <v>290</v>
      </c>
      <c r="D9" s="352">
        <v>2</v>
      </c>
      <c r="E9" s="352">
        <v>1</v>
      </c>
      <c r="F9" s="352">
        <v>1</v>
      </c>
      <c r="G9" s="352">
        <v>4</v>
      </c>
      <c r="I9" s="352" t="s">
        <v>291</v>
      </c>
    </row>
    <row r="10" spans="1:9" s="352" customFormat="1" ht="10.15" x14ac:dyDescent="0.3">
      <c r="B10" s="353" t="s">
        <v>292</v>
      </c>
      <c r="C10" s="357" t="s">
        <v>293</v>
      </c>
      <c r="D10" s="358">
        <f>'Weighted Avg Price Calc'!E10</f>
        <v>12.057</v>
      </c>
      <c r="E10" s="358">
        <f>'Weighted Avg Price Calc'!F10</f>
        <v>12.057</v>
      </c>
      <c r="F10" s="358">
        <f>E14</f>
        <v>12.073</v>
      </c>
    </row>
    <row r="11" spans="1:9" s="352" customFormat="1" ht="10.15" x14ac:dyDescent="0.3">
      <c r="B11" s="353" t="s">
        <v>295</v>
      </c>
      <c r="C11" s="357" t="s">
        <v>296</v>
      </c>
      <c r="D11" s="358">
        <f>'Attachment D-5 (EY28-29)'!C24/10</f>
        <v>1.6E-2</v>
      </c>
      <c r="E11" s="358">
        <f>'Attachment D-5 (EY28-29)'!D24/10</f>
        <v>1.6E-2</v>
      </c>
      <c r="F11" s="377"/>
      <c r="I11" s="352" t="s">
        <v>459</v>
      </c>
    </row>
    <row r="12" spans="1:9" s="352" customFormat="1" ht="10.15" hidden="1" x14ac:dyDescent="0.3">
      <c r="B12" s="353" t="s">
        <v>298</v>
      </c>
      <c r="C12" s="357" t="s">
        <v>293</v>
      </c>
      <c r="D12" s="358">
        <v>3.7459999999999996</v>
      </c>
      <c r="E12" s="358">
        <v>8.0679999999999996</v>
      </c>
      <c r="F12" s="358">
        <v>9.6479999999999997</v>
      </c>
      <c r="I12" s="352" t="s">
        <v>299</v>
      </c>
    </row>
    <row r="13" spans="1:9" s="352" customFormat="1" ht="10.15" hidden="1" x14ac:dyDescent="0.3">
      <c r="B13" s="353">
        <v>3</v>
      </c>
      <c r="C13" s="357" t="s">
        <v>300</v>
      </c>
      <c r="D13" s="358">
        <v>0</v>
      </c>
      <c r="E13" s="358">
        <v>0</v>
      </c>
      <c r="F13" s="358">
        <v>0</v>
      </c>
      <c r="I13" s="352" t="s">
        <v>301</v>
      </c>
    </row>
    <row r="14" spans="1:9" s="352" customFormat="1" ht="10.15" x14ac:dyDescent="0.3">
      <c r="B14" s="353">
        <v>3</v>
      </c>
      <c r="C14" s="357" t="s">
        <v>302</v>
      </c>
      <c r="D14" s="358">
        <f>D10+D11</f>
        <v>12.073</v>
      </c>
      <c r="E14" s="358">
        <f>E10+E11</f>
        <v>12.073</v>
      </c>
      <c r="F14" s="358">
        <f>F10+F11</f>
        <v>12.073</v>
      </c>
      <c r="G14" s="358"/>
      <c r="I14" s="357" t="s">
        <v>303</v>
      </c>
    </row>
    <row r="15" spans="1:9" s="352" customFormat="1" ht="10.15" x14ac:dyDescent="0.3">
      <c r="B15" s="353">
        <v>4</v>
      </c>
      <c r="C15" s="357" t="s">
        <v>304</v>
      </c>
      <c r="D15" s="358">
        <f>D9/$G$9*D14</f>
        <v>6.0365000000000002</v>
      </c>
      <c r="E15" s="358">
        <f>E9/$G$9*E14</f>
        <v>3.0182500000000001</v>
      </c>
      <c r="F15" s="358">
        <f>F9/$G$9*F14</f>
        <v>3.0182500000000001</v>
      </c>
      <c r="G15" s="358">
        <f>SUM(D15:F15)</f>
        <v>12.073</v>
      </c>
      <c r="I15" s="357" t="s">
        <v>305</v>
      </c>
    </row>
    <row r="16" spans="1:9" s="352" customFormat="1" ht="10.15" hidden="1" x14ac:dyDescent="0.3">
      <c r="B16" s="353">
        <v>5</v>
      </c>
      <c r="C16" s="357" t="s">
        <v>306</v>
      </c>
      <c r="D16" s="358">
        <v>0</v>
      </c>
      <c r="E16" s="358">
        <v>0</v>
      </c>
      <c r="F16" s="358">
        <v>0</v>
      </c>
      <c r="G16" s="358">
        <f>SUM(D16:F16)</f>
        <v>0</v>
      </c>
      <c r="I16" s="357" t="s">
        <v>305</v>
      </c>
    </row>
    <row r="17" spans="2:14" s="352" customFormat="1" ht="10.15" x14ac:dyDescent="0.3">
      <c r="B17" s="353">
        <v>5</v>
      </c>
      <c r="C17" s="357" t="s">
        <v>307</v>
      </c>
      <c r="G17" s="359">
        <f>G15+G16</f>
        <v>12.073</v>
      </c>
    </row>
    <row r="18" spans="2:14" s="352" customFormat="1" ht="10.15" x14ac:dyDescent="0.3">
      <c r="B18" s="353"/>
    </row>
    <row r="19" spans="2:14" s="352" customFormat="1" ht="10.15" x14ac:dyDescent="0.3">
      <c r="B19" s="353"/>
      <c r="C19" s="354" t="s">
        <v>308</v>
      </c>
    </row>
    <row r="20" spans="2:14" s="352" customFormat="1" ht="10.15" x14ac:dyDescent="0.3">
      <c r="B20" s="353">
        <v>6</v>
      </c>
      <c r="C20" s="188" t="s">
        <v>309</v>
      </c>
      <c r="D20" s="360">
        <v>1</v>
      </c>
      <c r="E20" s="360">
        <v>1</v>
      </c>
      <c r="F20" s="360">
        <v>1</v>
      </c>
      <c r="G20" s="352" t="s">
        <v>310</v>
      </c>
      <c r="I20" s="357" t="s">
        <v>311</v>
      </c>
    </row>
    <row r="21" spans="2:14" s="352" customFormat="1" ht="10.15" x14ac:dyDescent="0.3">
      <c r="B21" s="353">
        <v>7</v>
      </c>
      <c r="C21" s="188" t="s">
        <v>312</v>
      </c>
      <c r="D21" s="360">
        <v>1</v>
      </c>
      <c r="E21" s="360">
        <v>1</v>
      </c>
      <c r="F21" s="360">
        <v>1</v>
      </c>
      <c r="G21" s="352" t="s">
        <v>310</v>
      </c>
      <c r="I21" s="357" t="s">
        <v>311</v>
      </c>
    </row>
    <row r="22" spans="2:14" s="352" customFormat="1" ht="10.15" x14ac:dyDescent="0.3">
      <c r="B22" s="353"/>
      <c r="D22" s="360"/>
      <c r="E22" s="360"/>
      <c r="F22" s="360"/>
    </row>
    <row r="23" spans="2:14" s="352" customFormat="1" ht="10.15" x14ac:dyDescent="0.3">
      <c r="B23" s="353"/>
      <c r="C23" s="354" t="s">
        <v>313</v>
      </c>
      <c r="F23" s="353" t="s">
        <v>314</v>
      </c>
    </row>
    <row r="24" spans="2:14" s="352" customFormat="1" ht="10.15" x14ac:dyDescent="0.3">
      <c r="B24" s="353">
        <v>8</v>
      </c>
      <c r="C24" s="361" t="s">
        <v>315</v>
      </c>
      <c r="D24" s="362">
        <f>'Weighted Avg Price Calc'!D24</f>
        <v>443736.86909145082</v>
      </c>
      <c r="I24" s="357" t="s">
        <v>311</v>
      </c>
      <c r="N24" s="362"/>
    </row>
    <row r="25" spans="2:14" s="352" customFormat="1" ht="10.15" x14ac:dyDescent="0.3">
      <c r="B25" s="353">
        <v>9</v>
      </c>
      <c r="C25" s="361" t="s">
        <v>316</v>
      </c>
      <c r="D25" s="363">
        <f>'Weighted Avg Price Calc'!D25</f>
        <v>622884.08255588706</v>
      </c>
      <c r="I25" s="357" t="s">
        <v>311</v>
      </c>
      <c r="N25" s="362"/>
    </row>
    <row r="26" spans="2:14" s="352" customFormat="1" ht="10.15" x14ac:dyDescent="0.3">
      <c r="B26" s="353">
        <v>10</v>
      </c>
      <c r="D26" s="362">
        <f>SUM(D24:D25)</f>
        <v>1066620.951647338</v>
      </c>
      <c r="N26" s="362"/>
    </row>
    <row r="27" spans="2:14" s="352" customFormat="1" ht="10.15" x14ac:dyDescent="0.3">
      <c r="B27" s="353"/>
    </row>
    <row r="28" spans="2:14" s="352" customFormat="1" ht="10.15" x14ac:dyDescent="0.3">
      <c r="B28" s="353"/>
      <c r="C28" s="354" t="s">
        <v>317</v>
      </c>
    </row>
    <row r="29" spans="2:14" s="352" customFormat="1" ht="10.15" x14ac:dyDescent="0.3">
      <c r="B29" s="353">
        <v>11</v>
      </c>
      <c r="C29" s="361" t="s">
        <v>69</v>
      </c>
      <c r="D29" s="362">
        <f>ROUND(D$9/$G$9*(D$14)/100*D$20*$D$24*1000,0)</f>
        <v>26786176</v>
      </c>
      <c r="E29" s="362">
        <f>ROUND(E$9/$G$9*(E$14)/100*E$20*$D$24*1000,0)</f>
        <v>13393088</v>
      </c>
      <c r="F29" s="362">
        <f>ROUND(F$9/$G$9*(F$14)/100*F$20*$D$24*1000,0)</f>
        <v>13393088</v>
      </c>
      <c r="G29" s="362">
        <f>SUM(D29:F29)</f>
        <v>53572352</v>
      </c>
      <c r="I29" s="357" t="s">
        <v>318</v>
      </c>
    </row>
    <row r="30" spans="2:14" s="352" customFormat="1" ht="10.15" x14ac:dyDescent="0.3">
      <c r="B30" s="353">
        <v>12</v>
      </c>
      <c r="C30" s="361" t="s">
        <v>62</v>
      </c>
      <c r="D30" s="364">
        <f>ROUND(D$9/$G$9*(D$14)/100*D$21*$D$25*1000,0)</f>
        <v>37600398</v>
      </c>
      <c r="E30" s="364">
        <f>ROUND(E$9/$G$9*(E$14)/100*E$21*$D$25*1000,0)</f>
        <v>18800199</v>
      </c>
      <c r="F30" s="364">
        <f>ROUND(F$9/$G$9*(F$14)/100*F$21*$D$25*1000,0)</f>
        <v>18800199</v>
      </c>
      <c r="G30" s="364">
        <f>SUM(D30:F30)</f>
        <v>75200796</v>
      </c>
      <c r="I30" s="357" t="s">
        <v>319</v>
      </c>
    </row>
    <row r="31" spans="2:14" s="352" customFormat="1" ht="10.15" x14ac:dyDescent="0.3">
      <c r="B31" s="353">
        <v>13</v>
      </c>
      <c r="C31" s="361" t="s">
        <v>36</v>
      </c>
      <c r="D31" s="362">
        <f>SUM(D29:D30)</f>
        <v>64386574</v>
      </c>
      <c r="E31" s="362">
        <f>SUM(E29:E30)</f>
        <v>32193287</v>
      </c>
      <c r="F31" s="362">
        <f>SUM(F29:F30)</f>
        <v>32193287</v>
      </c>
      <c r="G31" s="362">
        <f>SUM(G29:G30)</f>
        <v>128773148</v>
      </c>
      <c r="I31" s="357" t="s">
        <v>320</v>
      </c>
    </row>
    <row r="32" spans="2:14" s="352" customFormat="1" ht="10.15" x14ac:dyDescent="0.3">
      <c r="B32" s="353"/>
    </row>
    <row r="33" spans="2:11" s="352" customFormat="1" ht="10.15" x14ac:dyDescent="0.3">
      <c r="B33" s="353"/>
      <c r="C33" s="365" t="s">
        <v>321</v>
      </c>
    </row>
    <row r="34" spans="2:11" s="352" customFormat="1" ht="10.15" x14ac:dyDescent="0.3">
      <c r="B34" s="353">
        <v>14</v>
      </c>
      <c r="C34" s="361" t="s">
        <v>69</v>
      </c>
      <c r="D34" s="358">
        <f>ROUND(G29/D24/1000*100,3)</f>
        <v>12.073</v>
      </c>
      <c r="E34" s="352" t="s">
        <v>113</v>
      </c>
      <c r="I34" s="357" t="s">
        <v>322</v>
      </c>
    </row>
    <row r="35" spans="2:11" s="352" customFormat="1" ht="10.15" x14ac:dyDescent="0.3">
      <c r="B35" s="353">
        <v>15</v>
      </c>
      <c r="C35" s="361" t="s">
        <v>62</v>
      </c>
      <c r="D35" s="358">
        <f>ROUND(G30/D25/1000*100,3)</f>
        <v>12.073</v>
      </c>
      <c r="E35" s="352" t="s">
        <v>113</v>
      </c>
      <c r="I35" s="357" t="s">
        <v>323</v>
      </c>
    </row>
    <row r="36" spans="2:11" s="352" customFormat="1" ht="10.15" x14ac:dyDescent="0.3">
      <c r="B36" s="353">
        <v>16</v>
      </c>
      <c r="C36" s="361" t="s">
        <v>36</v>
      </c>
      <c r="D36" s="359">
        <f>ROUND(G31/D26/1000*100,3)</f>
        <v>12.073</v>
      </c>
      <c r="E36" s="352" t="s">
        <v>113</v>
      </c>
      <c r="I36" s="357" t="s">
        <v>324</v>
      </c>
    </row>
    <row r="37" spans="2:11" s="352" customFormat="1" ht="10.15" x14ac:dyDescent="0.3">
      <c r="B37" s="353"/>
      <c r="C37" s="362"/>
    </row>
    <row r="38" spans="2:11" s="352" customFormat="1" ht="10.15" x14ac:dyDescent="0.3">
      <c r="B38" s="353"/>
      <c r="C38" s="354" t="s">
        <v>325</v>
      </c>
    </row>
    <row r="39" spans="2:11" s="352" customFormat="1" ht="10.15" x14ac:dyDescent="0.3">
      <c r="B39" s="353"/>
      <c r="D39" s="361" t="s">
        <v>326</v>
      </c>
      <c r="E39" s="361" t="s">
        <v>327</v>
      </c>
    </row>
    <row r="40" spans="2:11" s="352" customFormat="1" ht="10.15" x14ac:dyDescent="0.3">
      <c r="B40" s="353"/>
      <c r="D40" s="356" t="s">
        <v>285</v>
      </c>
      <c r="E40" s="356" t="s">
        <v>328</v>
      </c>
      <c r="F40" s="366"/>
      <c r="G40" s="356" t="s">
        <v>36</v>
      </c>
    </row>
    <row r="41" spans="2:11" s="352" customFormat="1" ht="10.15" x14ac:dyDescent="0.3">
      <c r="B41" s="353">
        <v>17</v>
      </c>
      <c r="C41" s="352" t="s">
        <v>290</v>
      </c>
      <c r="D41" s="352">
        <f>SUM(D9:F9)</f>
        <v>4</v>
      </c>
      <c r="E41" s="352">
        <f>'Weighted Avg Price Calc'!E41</f>
        <v>0.55800000000000005</v>
      </c>
      <c r="G41" s="352">
        <f>SUM(D41:E41)</f>
        <v>4.5579999999999998</v>
      </c>
      <c r="I41" s="352" t="s">
        <v>329</v>
      </c>
    </row>
    <row r="42" spans="2:11" s="352" customFormat="1" ht="10.15" x14ac:dyDescent="0.3">
      <c r="B42" s="353">
        <v>18</v>
      </c>
      <c r="C42" s="352" t="s">
        <v>330</v>
      </c>
      <c r="D42" s="358">
        <f>D36</f>
        <v>12.073</v>
      </c>
      <c r="E42" s="352">
        <f>'Weighted Avg Price Calc'!E42</f>
        <v>10.106000000000002</v>
      </c>
      <c r="F42" s="358"/>
      <c r="I42" s="352" t="s">
        <v>460</v>
      </c>
      <c r="K42" s="352" t="str">
        <f>"Note "&amp;E42&amp;"¢ for RFP is illustrative"</f>
        <v>Note 10.106¢ for RFP is illustrative</v>
      </c>
    </row>
    <row r="43" spans="2:11" s="352" customFormat="1" ht="10.15" x14ac:dyDescent="0.3">
      <c r="B43" s="353"/>
      <c r="D43" s="358"/>
      <c r="E43" s="359"/>
      <c r="F43" s="358"/>
    </row>
    <row r="44" spans="2:11" s="352" customFormat="1" ht="10.15" hidden="1" x14ac:dyDescent="0.3">
      <c r="B44" s="353">
        <v>19</v>
      </c>
      <c r="C44" s="352" t="s">
        <v>331</v>
      </c>
      <c r="D44" s="358">
        <f>F13</f>
        <v>0</v>
      </c>
      <c r="E44" s="358">
        <v>0</v>
      </c>
    </row>
    <row r="45" spans="2:11" s="352" customFormat="1" ht="10.15" hidden="1" x14ac:dyDescent="0.3">
      <c r="B45" s="353">
        <v>20</v>
      </c>
      <c r="C45" s="352" t="s">
        <v>326</v>
      </c>
      <c r="D45" s="358">
        <f>D42-D44</f>
        <v>12.073</v>
      </c>
      <c r="E45" s="352">
        <f>E42-E44</f>
        <v>10.106000000000002</v>
      </c>
      <c r="I45" s="357" t="s">
        <v>332</v>
      </c>
    </row>
    <row r="46" spans="2:11" s="352" customFormat="1" ht="10.15" x14ac:dyDescent="0.3">
      <c r="B46" s="353">
        <v>19</v>
      </c>
      <c r="C46" s="357" t="s">
        <v>304</v>
      </c>
      <c r="D46" s="358">
        <f>D41/$G$41*D42</f>
        <v>10.594997806055288</v>
      </c>
      <c r="E46" s="358">
        <f>E41/$G$41*E42</f>
        <v>1.2371978938130763</v>
      </c>
      <c r="F46" s="358"/>
      <c r="G46" s="358">
        <f>SUM(D46:E46)</f>
        <v>11.832195699868365</v>
      </c>
      <c r="I46" s="357" t="s">
        <v>333</v>
      </c>
    </row>
    <row r="47" spans="2:11" s="352" customFormat="1" ht="10.15" hidden="1" x14ac:dyDescent="0.3">
      <c r="B47" s="353">
        <v>22</v>
      </c>
      <c r="C47" s="357" t="s">
        <v>306</v>
      </c>
      <c r="D47" s="358">
        <f>D41/$G$41*D44</f>
        <v>0</v>
      </c>
      <c r="E47" s="358">
        <f>E41/$G$41*E44</f>
        <v>0</v>
      </c>
      <c r="F47" s="358"/>
      <c r="G47" s="358">
        <f>SUM(D47:E47)</f>
        <v>0</v>
      </c>
      <c r="I47" s="357" t="s">
        <v>334</v>
      </c>
    </row>
    <row r="48" spans="2:11" s="352" customFormat="1" ht="10.15" x14ac:dyDescent="0.3">
      <c r="B48" s="353">
        <v>20</v>
      </c>
      <c r="C48" s="367" t="s">
        <v>335</v>
      </c>
      <c r="G48" s="359">
        <f>ROUND(G46,3)</f>
        <v>11.832000000000001</v>
      </c>
      <c r="I48" s="357" t="s">
        <v>336</v>
      </c>
    </row>
    <row r="50" spans="3:3" x14ac:dyDescent="0.35">
      <c r="C50" s="368" t="s">
        <v>337</v>
      </c>
    </row>
    <row r="51" spans="3:3" x14ac:dyDescent="0.35">
      <c r="C51" s="368" t="s">
        <v>338</v>
      </c>
    </row>
  </sheetData>
  <printOptions horizontalCentered="1"/>
  <pageMargins left="0.5" right="0.5" top="0.5" bottom="0.5" header="0.5" footer="0.5"/>
  <pageSetup scale="90" orientation="landscape" r:id="rId1"/>
  <headerFooter differentOddEven="1" scaleWithDoc="0" alignWithMargins="0">
    <oddHeader xml:space="preserve">&amp;R&amp;"Arial,Bold"Attachment D&amp;"Arial,Regular"
Page 2 of 6
</oddHeader>
    <oddFooter>&amp;C_x000D_&amp;1#&amp;"Aptos"&amp;22&amp;K0073CF INTERNAL</oddFooter>
    <evenFooter>&amp;C_x000D_&amp;1#&amp;"Aptos"&amp;22&amp;K0073CF INTERNAL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BB5A7-A722-4968-9B82-F5E09B517570}">
  <sheetPr>
    <pageSetUpPr fitToPage="1"/>
  </sheetPr>
  <dimension ref="A1:N51"/>
  <sheetViews>
    <sheetView view="pageBreakPreview" zoomScaleNormal="100" zoomScaleSheetLayoutView="100" workbookViewId="0"/>
  </sheetViews>
  <sheetFormatPr defaultColWidth="9.1328125" defaultRowHeight="12.75" x14ac:dyDescent="0.35"/>
  <cols>
    <col min="1" max="1" width="9.1328125" style="333"/>
    <col min="2" max="2" width="4.73046875" style="333" customWidth="1"/>
    <col min="3" max="3" width="30.86328125" style="333" customWidth="1"/>
    <col min="4" max="6" width="9.59765625" style="333" customWidth="1"/>
    <col min="7" max="7" width="9.86328125" style="333" customWidth="1"/>
    <col min="8" max="8" width="1.73046875" style="333" customWidth="1"/>
    <col min="9" max="13" width="9.1328125" style="333"/>
    <col min="14" max="14" width="12.86328125" style="333" customWidth="1"/>
    <col min="15" max="17" width="9.1328125" style="333"/>
    <col min="18" max="18" width="13.1328125" style="333" customWidth="1"/>
    <col min="19" max="16384" width="9.1328125" style="333"/>
  </cols>
  <sheetData>
    <row r="1" spans="1:9" ht="13.15" x14ac:dyDescent="0.4">
      <c r="A1" s="351" t="s">
        <v>282</v>
      </c>
    </row>
    <row r="2" spans="1:9" ht="13.15" x14ac:dyDescent="0.4">
      <c r="A2" s="338" t="s">
        <v>464</v>
      </c>
    </row>
    <row r="3" spans="1:9" x14ac:dyDescent="0.35">
      <c r="A3" s="369" t="s">
        <v>465</v>
      </c>
    </row>
    <row r="4" spans="1:9" s="352" customFormat="1" ht="13.15" x14ac:dyDescent="0.4">
      <c r="A4" s="338" t="s">
        <v>283</v>
      </c>
      <c r="B4" s="338" t="s">
        <v>284</v>
      </c>
    </row>
    <row r="5" spans="1:9" s="352" customFormat="1" ht="10.15" x14ac:dyDescent="0.3"/>
    <row r="6" spans="1:9" s="352" customFormat="1" ht="10.15" x14ac:dyDescent="0.3">
      <c r="D6" s="353">
        <v>2027</v>
      </c>
      <c r="E6" s="353">
        <v>2028</v>
      </c>
      <c r="F6" s="353">
        <v>2029</v>
      </c>
    </row>
    <row r="7" spans="1:9" s="352" customFormat="1" ht="10.15" x14ac:dyDescent="0.3">
      <c r="D7" s="353" t="s">
        <v>285</v>
      </c>
      <c r="E7" s="353" t="s">
        <v>285</v>
      </c>
      <c r="F7" s="353" t="s">
        <v>285</v>
      </c>
    </row>
    <row r="8" spans="1:9" s="352" customFormat="1" ht="10.15" x14ac:dyDescent="0.3">
      <c r="B8" s="354" t="s">
        <v>286</v>
      </c>
      <c r="C8" s="354" t="s">
        <v>287</v>
      </c>
      <c r="D8" s="355" t="s">
        <v>288</v>
      </c>
      <c r="E8" s="355" t="s">
        <v>288</v>
      </c>
      <c r="F8" s="355" t="s">
        <v>288</v>
      </c>
      <c r="G8" s="356" t="s">
        <v>36</v>
      </c>
      <c r="I8" s="354" t="s">
        <v>289</v>
      </c>
    </row>
    <row r="9" spans="1:9" s="352" customFormat="1" ht="10.15" x14ac:dyDescent="0.3">
      <c r="B9" s="353">
        <v>1</v>
      </c>
      <c r="C9" s="352" t="s">
        <v>290</v>
      </c>
      <c r="D9" s="352">
        <v>1</v>
      </c>
      <c r="E9" s="352">
        <v>1</v>
      </c>
      <c r="F9" s="352">
        <v>2</v>
      </c>
      <c r="G9" s="352">
        <v>4</v>
      </c>
      <c r="I9" s="352" t="s">
        <v>291</v>
      </c>
    </row>
    <row r="10" spans="1:9" s="352" customFormat="1" ht="10.15" x14ac:dyDescent="0.3">
      <c r="B10" s="353" t="s">
        <v>292</v>
      </c>
      <c r="C10" s="357" t="s">
        <v>293</v>
      </c>
      <c r="D10" s="358">
        <f>'Weighted Avg Price Calc'!F10</f>
        <v>12.057</v>
      </c>
      <c r="E10" s="358">
        <f>'Attachment D-7'!F10</f>
        <v>12.073</v>
      </c>
      <c r="F10" s="358">
        <f>E14</f>
        <v>12.073</v>
      </c>
    </row>
    <row r="11" spans="1:9" s="352" customFormat="1" ht="10.15" x14ac:dyDescent="0.3">
      <c r="B11" s="353" t="s">
        <v>295</v>
      </c>
      <c r="C11" s="357" t="s">
        <v>296</v>
      </c>
      <c r="D11" s="358">
        <f>'Attachment D-6 (EY29-30)'!C24/10</f>
        <v>1.6E-2</v>
      </c>
      <c r="E11" s="370"/>
      <c r="F11" s="370"/>
      <c r="I11" s="352" t="s">
        <v>466</v>
      </c>
    </row>
    <row r="12" spans="1:9" s="352" customFormat="1" ht="10.15" hidden="1" x14ac:dyDescent="0.3">
      <c r="B12" s="353" t="s">
        <v>298</v>
      </c>
      <c r="C12" s="357" t="s">
        <v>293</v>
      </c>
      <c r="D12" s="358">
        <v>3.7459999999999996</v>
      </c>
      <c r="E12" s="358">
        <v>8.0679999999999996</v>
      </c>
      <c r="F12" s="358">
        <v>9.6479999999999997</v>
      </c>
      <c r="I12" s="352" t="s">
        <v>299</v>
      </c>
    </row>
    <row r="13" spans="1:9" s="352" customFormat="1" ht="10.15" hidden="1" x14ac:dyDescent="0.3">
      <c r="B13" s="353">
        <v>3</v>
      </c>
      <c r="C13" s="357" t="s">
        <v>300</v>
      </c>
      <c r="D13" s="358">
        <v>0</v>
      </c>
      <c r="E13" s="358">
        <v>0</v>
      </c>
      <c r="F13" s="358">
        <v>0</v>
      </c>
      <c r="I13" s="352" t="s">
        <v>301</v>
      </c>
    </row>
    <row r="14" spans="1:9" s="352" customFormat="1" ht="10.15" x14ac:dyDescent="0.3">
      <c r="B14" s="353">
        <v>3</v>
      </c>
      <c r="C14" s="357" t="s">
        <v>302</v>
      </c>
      <c r="D14" s="358">
        <f>D10+D11</f>
        <v>12.073</v>
      </c>
      <c r="E14" s="358">
        <f>E10+E11</f>
        <v>12.073</v>
      </c>
      <c r="F14" s="358">
        <f>F10+F11</f>
        <v>12.073</v>
      </c>
      <c r="G14" s="358"/>
      <c r="I14" s="357" t="s">
        <v>303</v>
      </c>
    </row>
    <row r="15" spans="1:9" s="352" customFormat="1" ht="10.15" x14ac:dyDescent="0.3">
      <c r="B15" s="353">
        <v>4</v>
      </c>
      <c r="C15" s="357" t="s">
        <v>304</v>
      </c>
      <c r="D15" s="358">
        <f>D9/$G$9*D14</f>
        <v>3.0182500000000001</v>
      </c>
      <c r="E15" s="358">
        <f>E9/$G$9*E14</f>
        <v>3.0182500000000001</v>
      </c>
      <c r="F15" s="358">
        <f>F9/$G$9*F14</f>
        <v>6.0365000000000002</v>
      </c>
      <c r="G15" s="358">
        <f>SUM(D15:F15)</f>
        <v>12.073</v>
      </c>
      <c r="I15" s="357" t="s">
        <v>305</v>
      </c>
    </row>
    <row r="16" spans="1:9" s="352" customFormat="1" ht="10.15" hidden="1" x14ac:dyDescent="0.3">
      <c r="B16" s="353">
        <v>5</v>
      </c>
      <c r="C16" s="357" t="s">
        <v>306</v>
      </c>
      <c r="D16" s="358">
        <v>0</v>
      </c>
      <c r="E16" s="358">
        <v>0</v>
      </c>
      <c r="F16" s="358">
        <v>0</v>
      </c>
      <c r="G16" s="358">
        <f>SUM(D16:F16)</f>
        <v>0</v>
      </c>
      <c r="I16" s="357" t="s">
        <v>305</v>
      </c>
    </row>
    <row r="17" spans="2:14" s="352" customFormat="1" ht="10.15" x14ac:dyDescent="0.3">
      <c r="B17" s="353">
        <v>5</v>
      </c>
      <c r="C17" s="357" t="s">
        <v>307</v>
      </c>
      <c r="G17" s="359">
        <f>G15+G16</f>
        <v>12.073</v>
      </c>
    </row>
    <row r="18" spans="2:14" s="352" customFormat="1" ht="10.15" x14ac:dyDescent="0.3">
      <c r="B18" s="353"/>
    </row>
    <row r="19" spans="2:14" s="352" customFormat="1" ht="10.15" x14ac:dyDescent="0.3">
      <c r="B19" s="353"/>
      <c r="C19" s="354" t="s">
        <v>308</v>
      </c>
    </row>
    <row r="20" spans="2:14" s="352" customFormat="1" ht="10.15" x14ac:dyDescent="0.3">
      <c r="B20" s="353">
        <v>6</v>
      </c>
      <c r="C20" s="188" t="s">
        <v>309</v>
      </c>
      <c r="D20" s="360">
        <v>1</v>
      </c>
      <c r="E20" s="360">
        <v>1</v>
      </c>
      <c r="F20" s="360">
        <v>1</v>
      </c>
      <c r="G20" s="352" t="s">
        <v>310</v>
      </c>
      <c r="I20" s="357" t="s">
        <v>311</v>
      </c>
    </row>
    <row r="21" spans="2:14" s="352" customFormat="1" ht="10.15" x14ac:dyDescent="0.3">
      <c r="B21" s="353">
        <v>7</v>
      </c>
      <c r="C21" s="188" t="s">
        <v>312</v>
      </c>
      <c r="D21" s="360">
        <v>1</v>
      </c>
      <c r="E21" s="360">
        <v>1</v>
      </c>
      <c r="F21" s="360">
        <v>1</v>
      </c>
      <c r="G21" s="352" t="s">
        <v>310</v>
      </c>
      <c r="I21" s="357" t="s">
        <v>311</v>
      </c>
    </row>
    <row r="22" spans="2:14" s="352" customFormat="1" ht="10.15" x14ac:dyDescent="0.3">
      <c r="B22" s="353"/>
      <c r="D22" s="360"/>
      <c r="E22" s="360"/>
      <c r="F22" s="360"/>
    </row>
    <row r="23" spans="2:14" s="352" customFormat="1" ht="10.15" x14ac:dyDescent="0.3">
      <c r="B23" s="353"/>
      <c r="C23" s="354" t="s">
        <v>313</v>
      </c>
      <c r="F23" s="353" t="s">
        <v>314</v>
      </c>
    </row>
    <row r="24" spans="2:14" s="352" customFormat="1" ht="10.15" x14ac:dyDescent="0.3">
      <c r="B24" s="353">
        <v>8</v>
      </c>
      <c r="C24" s="361" t="s">
        <v>315</v>
      </c>
      <c r="D24" s="362">
        <f>'Weighted Avg Price Calc'!D24</f>
        <v>443736.86909145082</v>
      </c>
      <c r="I24" s="357" t="s">
        <v>311</v>
      </c>
      <c r="N24" s="362"/>
    </row>
    <row r="25" spans="2:14" s="352" customFormat="1" ht="10.15" x14ac:dyDescent="0.3">
      <c r="B25" s="353">
        <v>9</v>
      </c>
      <c r="C25" s="361" t="s">
        <v>316</v>
      </c>
      <c r="D25" s="363">
        <f>'Weighted Avg Price Calc'!D25</f>
        <v>622884.08255588706</v>
      </c>
      <c r="I25" s="357" t="s">
        <v>311</v>
      </c>
      <c r="N25" s="362"/>
    </row>
    <row r="26" spans="2:14" s="352" customFormat="1" ht="10.15" x14ac:dyDescent="0.3">
      <c r="B26" s="353">
        <v>10</v>
      </c>
      <c r="D26" s="362">
        <f>SUM(D24:D25)</f>
        <v>1066620.951647338</v>
      </c>
      <c r="N26" s="362"/>
    </row>
    <row r="27" spans="2:14" s="352" customFormat="1" ht="10.15" x14ac:dyDescent="0.3">
      <c r="B27" s="353"/>
    </row>
    <row r="28" spans="2:14" s="352" customFormat="1" ht="10.15" x14ac:dyDescent="0.3">
      <c r="B28" s="353"/>
      <c r="C28" s="354" t="s">
        <v>317</v>
      </c>
    </row>
    <row r="29" spans="2:14" s="352" customFormat="1" ht="10.15" x14ac:dyDescent="0.3">
      <c r="B29" s="353">
        <v>11</v>
      </c>
      <c r="C29" s="361" t="s">
        <v>69</v>
      </c>
      <c r="D29" s="362">
        <f>ROUND(D$9/$G$9*(D$14)/100*D$20*$D$24*1000,0)</f>
        <v>13393088</v>
      </c>
      <c r="E29" s="362">
        <f>ROUND(E$9/$G$9*(E$14)/100*E$20*$D$24*1000,0)</f>
        <v>13393088</v>
      </c>
      <c r="F29" s="362">
        <f>ROUND(F$9/$G$9*(F$14)/100*F$20*$D$24*1000,0)</f>
        <v>26786176</v>
      </c>
      <c r="G29" s="362">
        <f>SUM(D29:F29)</f>
        <v>53572352</v>
      </c>
      <c r="I29" s="357" t="s">
        <v>318</v>
      </c>
    </row>
    <row r="30" spans="2:14" s="352" customFormat="1" ht="10.15" x14ac:dyDescent="0.3">
      <c r="B30" s="353">
        <v>12</v>
      </c>
      <c r="C30" s="361" t="s">
        <v>62</v>
      </c>
      <c r="D30" s="364">
        <f>ROUND(D$9/$G$9*(D$14)/100*D$21*$D$25*1000,0)</f>
        <v>18800199</v>
      </c>
      <c r="E30" s="364">
        <f>ROUND(E$9/$G$9*(E$14)/100*E$21*$D$25*1000,0)</f>
        <v>18800199</v>
      </c>
      <c r="F30" s="364">
        <f>ROUND(F$9/$G$9*(F$14)/100*F$21*$D$25*1000,0)</f>
        <v>37600398</v>
      </c>
      <c r="G30" s="364">
        <f>SUM(D30:F30)</f>
        <v>75200796</v>
      </c>
      <c r="I30" s="357" t="s">
        <v>319</v>
      </c>
    </row>
    <row r="31" spans="2:14" s="352" customFormat="1" ht="10.15" x14ac:dyDescent="0.3">
      <c r="B31" s="353">
        <v>13</v>
      </c>
      <c r="C31" s="361" t="s">
        <v>36</v>
      </c>
      <c r="D31" s="362">
        <f>SUM(D29:D30)</f>
        <v>32193287</v>
      </c>
      <c r="E31" s="362">
        <f>SUM(E29:E30)</f>
        <v>32193287</v>
      </c>
      <c r="F31" s="362">
        <f>SUM(F29:F30)</f>
        <v>64386574</v>
      </c>
      <c r="G31" s="362">
        <f>SUM(G29:G30)</f>
        <v>128773148</v>
      </c>
      <c r="I31" s="357" t="s">
        <v>320</v>
      </c>
    </row>
    <row r="32" spans="2:14" s="352" customFormat="1" ht="10.15" x14ac:dyDescent="0.3">
      <c r="B32" s="353"/>
    </row>
    <row r="33" spans="2:11" s="352" customFormat="1" ht="10.15" x14ac:dyDescent="0.3">
      <c r="B33" s="353"/>
      <c r="C33" s="365" t="s">
        <v>321</v>
      </c>
    </row>
    <row r="34" spans="2:11" s="352" customFormat="1" ht="10.15" x14ac:dyDescent="0.3">
      <c r="B34" s="353">
        <v>14</v>
      </c>
      <c r="C34" s="361" t="s">
        <v>69</v>
      </c>
      <c r="D34" s="358">
        <f>ROUND(G29/D24/1000*100,3)</f>
        <v>12.073</v>
      </c>
      <c r="E34" s="352" t="s">
        <v>113</v>
      </c>
      <c r="I34" s="357" t="s">
        <v>322</v>
      </c>
    </row>
    <row r="35" spans="2:11" s="352" customFormat="1" ht="10.15" x14ac:dyDescent="0.3">
      <c r="B35" s="353">
        <v>15</v>
      </c>
      <c r="C35" s="361" t="s">
        <v>62</v>
      </c>
      <c r="D35" s="358">
        <f>ROUND(G30/D25/1000*100,3)</f>
        <v>12.073</v>
      </c>
      <c r="E35" s="352" t="s">
        <v>113</v>
      </c>
      <c r="I35" s="357" t="s">
        <v>323</v>
      </c>
    </row>
    <row r="36" spans="2:11" s="352" customFormat="1" ht="10.15" x14ac:dyDescent="0.3">
      <c r="B36" s="353">
        <v>16</v>
      </c>
      <c r="C36" s="361" t="s">
        <v>36</v>
      </c>
      <c r="D36" s="359">
        <f>ROUND(G31/D26/1000*100,3)</f>
        <v>12.073</v>
      </c>
      <c r="E36" s="352" t="s">
        <v>113</v>
      </c>
      <c r="I36" s="357" t="s">
        <v>324</v>
      </c>
    </row>
    <row r="37" spans="2:11" s="352" customFormat="1" ht="10.15" x14ac:dyDescent="0.3">
      <c r="B37" s="353"/>
      <c r="C37" s="362"/>
    </row>
    <row r="38" spans="2:11" s="352" customFormat="1" ht="10.15" x14ac:dyDescent="0.3">
      <c r="B38" s="353"/>
      <c r="C38" s="354" t="s">
        <v>325</v>
      </c>
    </row>
    <row r="39" spans="2:11" s="352" customFormat="1" ht="10.15" x14ac:dyDescent="0.3">
      <c r="B39" s="353"/>
      <c r="D39" s="361" t="s">
        <v>326</v>
      </c>
      <c r="E39" s="361" t="s">
        <v>327</v>
      </c>
    </row>
    <row r="40" spans="2:11" s="352" customFormat="1" ht="10.15" x14ac:dyDescent="0.3">
      <c r="B40" s="353"/>
      <c r="D40" s="356" t="s">
        <v>285</v>
      </c>
      <c r="E40" s="356" t="s">
        <v>328</v>
      </c>
      <c r="F40" s="366"/>
      <c r="G40" s="356" t="s">
        <v>36</v>
      </c>
    </row>
    <row r="41" spans="2:11" s="352" customFormat="1" ht="10.15" x14ac:dyDescent="0.3">
      <c r="B41" s="353">
        <v>17</v>
      </c>
      <c r="C41" s="352" t="s">
        <v>290</v>
      </c>
      <c r="D41" s="352">
        <f>SUM(D9:F9)</f>
        <v>4</v>
      </c>
      <c r="E41" s="352">
        <f>'Weighted Avg Price Calc'!E41</f>
        <v>0.55800000000000005</v>
      </c>
      <c r="G41" s="352">
        <f>SUM(D41:E41)</f>
        <v>4.5579999999999998</v>
      </c>
      <c r="I41" s="352" t="s">
        <v>329</v>
      </c>
    </row>
    <row r="42" spans="2:11" s="352" customFormat="1" ht="10.15" x14ac:dyDescent="0.3">
      <c r="B42" s="353">
        <v>18</v>
      </c>
      <c r="C42" s="352" t="s">
        <v>330</v>
      </c>
      <c r="D42" s="358">
        <f>D36</f>
        <v>12.073</v>
      </c>
      <c r="E42" s="352">
        <f>'Weighted Avg Price Calc'!E42</f>
        <v>10.106000000000002</v>
      </c>
      <c r="F42" s="358"/>
      <c r="I42" s="352" t="s">
        <v>460</v>
      </c>
      <c r="K42" s="352" t="str">
        <f>"Note "&amp;E42&amp;"¢ for RFP is illustrative"</f>
        <v>Note 10.106¢ for RFP is illustrative</v>
      </c>
    </row>
    <row r="43" spans="2:11" s="352" customFormat="1" ht="10.15" x14ac:dyDescent="0.3">
      <c r="B43" s="353"/>
      <c r="D43" s="358"/>
      <c r="E43" s="359"/>
      <c r="F43" s="358"/>
    </row>
    <row r="44" spans="2:11" s="352" customFormat="1" ht="10.15" hidden="1" x14ac:dyDescent="0.3">
      <c r="B44" s="353">
        <v>19</v>
      </c>
      <c r="C44" s="352" t="s">
        <v>331</v>
      </c>
      <c r="D44" s="358">
        <f>F13</f>
        <v>0</v>
      </c>
      <c r="E44" s="358">
        <v>0</v>
      </c>
    </row>
    <row r="45" spans="2:11" s="352" customFormat="1" ht="10.15" hidden="1" x14ac:dyDescent="0.3">
      <c r="B45" s="353">
        <v>20</v>
      </c>
      <c r="C45" s="352" t="s">
        <v>326</v>
      </c>
      <c r="D45" s="358">
        <f>D42-D44</f>
        <v>12.073</v>
      </c>
      <c r="E45" s="352">
        <f>E42-E44</f>
        <v>10.106000000000002</v>
      </c>
      <c r="I45" s="357" t="s">
        <v>332</v>
      </c>
    </row>
    <row r="46" spans="2:11" s="352" customFormat="1" ht="10.15" x14ac:dyDescent="0.3">
      <c r="B46" s="353">
        <v>19</v>
      </c>
      <c r="C46" s="357" t="s">
        <v>304</v>
      </c>
      <c r="D46" s="358">
        <f>D41/$G$41*D42</f>
        <v>10.594997806055288</v>
      </c>
      <c r="E46" s="358">
        <f>E41/$G$41*E42</f>
        <v>1.2371978938130763</v>
      </c>
      <c r="F46" s="358"/>
      <c r="G46" s="358">
        <f>SUM(D46:E46)</f>
        <v>11.832195699868365</v>
      </c>
      <c r="I46" s="357" t="s">
        <v>333</v>
      </c>
    </row>
    <row r="47" spans="2:11" s="352" customFormat="1" ht="10.15" hidden="1" x14ac:dyDescent="0.3">
      <c r="B47" s="353">
        <v>22</v>
      </c>
      <c r="C47" s="357" t="s">
        <v>306</v>
      </c>
      <c r="D47" s="358">
        <f>D41/$G$41*D44</f>
        <v>0</v>
      </c>
      <c r="E47" s="358">
        <f>E41/$G$41*E44</f>
        <v>0</v>
      </c>
      <c r="F47" s="358"/>
      <c r="G47" s="358">
        <f>SUM(D47:E47)</f>
        <v>0</v>
      </c>
      <c r="I47" s="357" t="s">
        <v>334</v>
      </c>
    </row>
    <row r="48" spans="2:11" s="352" customFormat="1" ht="10.15" x14ac:dyDescent="0.3">
      <c r="B48" s="353">
        <v>20</v>
      </c>
      <c r="C48" s="367" t="s">
        <v>335</v>
      </c>
      <c r="G48" s="359">
        <f>ROUND(G46,3)</f>
        <v>11.832000000000001</v>
      </c>
      <c r="I48" s="357" t="s">
        <v>336</v>
      </c>
    </row>
    <row r="50" spans="3:3" x14ac:dyDescent="0.35">
      <c r="C50" s="368" t="s">
        <v>337</v>
      </c>
    </row>
    <row r="51" spans="3:3" x14ac:dyDescent="0.35">
      <c r="C51" s="368" t="s">
        <v>338</v>
      </c>
    </row>
  </sheetData>
  <printOptions horizontalCentered="1"/>
  <pageMargins left="0.5" right="0.5" top="0.5" bottom="0.5" header="0.5" footer="0.5"/>
  <pageSetup scale="90" orientation="landscape" r:id="rId1"/>
  <headerFooter differentOddEven="1" scaleWithDoc="0" alignWithMargins="0">
    <oddHeader xml:space="preserve">&amp;R&amp;"Arial,Bold"Attachment D&amp;"Arial,Regular"
Page 2 of 6
</oddHeader>
    <oddFooter>&amp;C_x000D_&amp;1#&amp;"Aptos"&amp;22&amp;K0073CF INTERNAL</oddFooter>
    <evenFooter>&amp;C_x000D_&amp;1#&amp;"Aptos"&amp;22&amp;K0073CF INTERNAL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11</vt:i4>
      </vt:variant>
    </vt:vector>
  </HeadingPairs>
  <TitlesOfParts>
    <vt:vector size="21" baseType="lpstr">
      <vt:lpstr>BGS Cost &amp; Bid Factors</vt:lpstr>
      <vt:lpstr>Weighted Avg Price Calc</vt:lpstr>
      <vt:lpstr>Rate Calculations</vt:lpstr>
      <vt:lpstr>Usage By Season</vt:lpstr>
      <vt:lpstr>Backup Calcs</vt:lpstr>
      <vt:lpstr>Attachment D-4 (EY27-28)</vt:lpstr>
      <vt:lpstr>Attachment D-5 (EY28-29)</vt:lpstr>
      <vt:lpstr>Attachment D-6 (EY29-30)</vt:lpstr>
      <vt:lpstr>Attachment D-7</vt:lpstr>
      <vt:lpstr>Attachment D-8</vt:lpstr>
      <vt:lpstr>'Attachment D-4 (EY27-28)'!Print_Area</vt:lpstr>
      <vt:lpstr>'Attachment D-5 (EY28-29)'!Print_Area</vt:lpstr>
      <vt:lpstr>'Attachment D-6 (EY29-30)'!Print_Area</vt:lpstr>
      <vt:lpstr>'Attachment D-7'!Print_Area</vt:lpstr>
      <vt:lpstr>'Attachment D-8'!Print_Area</vt:lpstr>
      <vt:lpstr>'Backup Calcs'!Print_Area</vt:lpstr>
      <vt:lpstr>'BGS Cost &amp; Bid Factors'!Print_Area</vt:lpstr>
      <vt:lpstr>'Rate Calculations'!Print_Area</vt:lpstr>
      <vt:lpstr>'Usage By Season'!Print_Area</vt:lpstr>
      <vt:lpstr>'Weighted Avg Price Calc'!Print_Area</vt:lpstr>
      <vt:lpstr>'Rate Calculations'!Print_Titles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2026-06-29T17:38:14Z</dcterms:created>
  <dcterms:modified xsi:type="dcterms:W3CDTF">2026-06-29T19:40:57Z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f1469a-2c2a-4aee-b92b-090d4c5468ff_Enabled">
    <vt:lpwstr>true</vt:lpwstr>
  </property>
  <property fmtid="{D5CDD505-2E9C-101B-9397-08002B2CF9AE}" pid="3" name="MSIP_Label_38f1469a-2c2a-4aee-b92b-090d4c5468ff_SetDate">
    <vt:lpwstr>2026-06-29T17:38:21Z</vt:lpwstr>
  </property>
  <property fmtid="{D5CDD505-2E9C-101B-9397-08002B2CF9AE}" pid="4" name="MSIP_Label_38f1469a-2c2a-4aee-b92b-090d4c5468ff_Method">
    <vt:lpwstr>Standard</vt:lpwstr>
  </property>
  <property fmtid="{D5CDD505-2E9C-101B-9397-08002B2CF9AE}" pid="5" name="MSIP_Label_38f1469a-2c2a-4aee-b92b-090d4c5468ff_Name">
    <vt:lpwstr>Confidential - Unmarked</vt:lpwstr>
  </property>
  <property fmtid="{D5CDD505-2E9C-101B-9397-08002B2CF9AE}" pid="6" name="MSIP_Label_38f1469a-2c2a-4aee-b92b-090d4c5468ff_SiteId">
    <vt:lpwstr>2a6e6092-73e4-4752-b1a5-477a17f5056d</vt:lpwstr>
  </property>
  <property fmtid="{D5CDD505-2E9C-101B-9397-08002B2CF9AE}" pid="7" name="MSIP_Label_38f1469a-2c2a-4aee-b92b-090d4c5468ff_ActionId">
    <vt:lpwstr>e558dde8-8757-4b7d-a5d6-bcc250c2ed80</vt:lpwstr>
  </property>
  <property fmtid="{D5CDD505-2E9C-101B-9397-08002B2CF9AE}" pid="8" name="MSIP_Label_38f1469a-2c2a-4aee-b92b-090d4c5468ff_ContentBits">
    <vt:lpwstr>0</vt:lpwstr>
  </property>
  <property fmtid="{D5CDD505-2E9C-101B-9397-08002B2CF9AE}" pid="9" name="MSIP_Label_38f1469a-2c2a-4aee-b92b-090d4c5468ff_Tag">
    <vt:lpwstr>10, 3, 0, 1</vt:lpwstr>
  </property>
</Properties>
</file>