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updateLinks="never" codeName="ThisWorkbook"/>
  <xr:revisionPtr revIDLastSave="0" documentId="13_ncr:1_{DDFB457E-FA0D-428F-B3C8-95B9098DF42E}" xr6:coauthVersionLast="47" xr6:coauthVersionMax="47" xr10:uidLastSave="{00000000-0000-0000-0000-000000000000}"/>
  <bookViews>
    <workbookView xWindow="28680" yWindow="-120" windowWidth="29040" windowHeight="15720" xr2:uid="{2C3D3B49-6A68-4341-AD0B-1CF136ACF64D}"/>
  </bookViews>
  <sheets>
    <sheet name="BGS PTY23 Cost Alloc" sheetId="11" r:id="rId1"/>
    <sheet name="BGS PTY24 Cost Alloc" sheetId="13" r:id="rId2"/>
    <sheet name="BGS PTY25 Cost Alloc" sheetId="10" r:id="rId3"/>
    <sheet name="Composite Cost Allocation" sheetId="14" r:id="rId4"/>
    <sheet name="Attachment 3 - 27-28" sheetId="31" r:id="rId5"/>
    <sheet name="Attachment 3 - 28-29" sheetId="28" r:id="rId6"/>
    <sheet name="Attachment 3 - 29-30" sheetId="33" r:id="rId7"/>
  </sheets>
  <definedNames>
    <definedName name="_xlnm.Print_Area" localSheetId="4">'Attachment 3 - 27-28'!$A$1:$G$53</definedName>
    <definedName name="_xlnm.Print_Area" localSheetId="5">'Attachment 3 - 28-29'!$A$1:$G$54</definedName>
    <definedName name="_xlnm.Print_Area" localSheetId="6">'Attachment 3 - 29-30'!$A$1:$G$54</definedName>
    <definedName name="_xlnm.Print_Area" localSheetId="0">'BGS PTY23 Cost Alloc'!$A$1:$L$328</definedName>
    <definedName name="_xlnm.Print_Area" localSheetId="1">'BGS PTY24 Cost Alloc'!$A$1:$L$328</definedName>
    <definedName name="_xlnm.Print_Area" localSheetId="2">'BGS PTY25 Cost Alloc'!$A$1:$L$317</definedName>
    <definedName name="_xlnm.Print_Area" localSheetId="3">'Composite Cost Allocation'!$A$1:$J$211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23" i="14" l="1"/>
  <c r="H123" i="14"/>
  <c r="G123" i="14"/>
  <c r="F123" i="14"/>
  <c r="E123" i="14"/>
  <c r="O170" i="14" l="1"/>
  <c r="O169" i="14"/>
  <c r="O168" i="14"/>
  <c r="E33" i="31" l="1"/>
  <c r="AD72" i="10" l="1"/>
  <c r="C33" i="33" l="1"/>
  <c r="D16" i="28"/>
  <c r="D15" i="28"/>
  <c r="D12" i="28"/>
  <c r="D10" i="28"/>
  <c r="E298" i="13" l="1"/>
  <c r="C38" i="33" l="1"/>
  <c r="D38" i="33" s="1"/>
  <c r="A12" i="33"/>
  <c r="A13" i="33" s="1"/>
  <c r="A14" i="33" s="1"/>
  <c r="A15" i="33" s="1"/>
  <c r="A16" i="33" s="1"/>
  <c r="A17" i="33" s="1"/>
  <c r="A18" i="33" s="1"/>
  <c r="A19" i="33" s="1"/>
  <c r="A20" i="33" s="1"/>
  <c r="A11" i="33"/>
  <c r="C10" i="33"/>
  <c r="E38" i="33" l="1"/>
  <c r="C15" i="33" s="1"/>
  <c r="C16" i="33" s="1"/>
  <c r="Y71" i="10" l="1"/>
  <c r="Y70" i="10"/>
  <c r="Y69" i="10"/>
  <c r="Y68" i="10"/>
  <c r="Y67" i="10"/>
  <c r="Y66" i="10"/>
  <c r="Y65" i="10"/>
  <c r="Y64" i="10"/>
  <c r="Y63" i="10"/>
  <c r="Y62" i="10"/>
  <c r="Y61" i="10"/>
  <c r="Y60" i="10"/>
  <c r="C38" i="31" l="1"/>
  <c r="A11" i="31"/>
  <c r="A12" i="31" s="1"/>
  <c r="A13" i="31" s="1"/>
  <c r="A14" i="31" s="1"/>
  <c r="A15" i="31" s="1"/>
  <c r="A16" i="31" s="1"/>
  <c r="A17" i="31" s="1"/>
  <c r="A18" i="31" s="1"/>
  <c r="A19" i="31" s="1"/>
  <c r="A20" i="31" s="1"/>
  <c r="C10" i="31"/>
  <c r="D38" i="31" l="1"/>
  <c r="E38" i="31"/>
  <c r="C15" i="31" l="1"/>
  <c r="C16" i="31" l="1"/>
  <c r="Z72" i="10"/>
  <c r="G60" i="10" l="1"/>
  <c r="AF76" i="10" l="1"/>
  <c r="C38" i="28" l="1"/>
  <c r="E38" i="28" s="1"/>
  <c r="C15" i="28" s="1"/>
  <c r="A11" i="28"/>
  <c r="A12" i="28" s="1"/>
  <c r="A13" i="28" s="1"/>
  <c r="A14" i="28" s="1"/>
  <c r="A15" i="28" s="1"/>
  <c r="A16" i="28" s="1"/>
  <c r="A17" i="28" s="1"/>
  <c r="A18" i="28" s="1"/>
  <c r="A19" i="28" s="1"/>
  <c r="A20" i="28" s="1"/>
  <c r="C10" i="28"/>
  <c r="D38" i="28" l="1"/>
  <c r="C16" i="28"/>
  <c r="G192" i="10" l="1"/>
  <c r="I164" i="10" l="1"/>
  <c r="H164" i="10"/>
  <c r="G164" i="10"/>
  <c r="F164" i="10"/>
  <c r="E164" i="10" l="1"/>
  <c r="J163" i="10"/>
  <c r="H192" i="10" l="1"/>
  <c r="D192" i="13" l="1"/>
  <c r="E192" i="13" s="1"/>
  <c r="D193" i="11" l="1"/>
  <c r="B328" i="11" l="1"/>
  <c r="B328" i="13"/>
  <c r="F187" i="10" l="1"/>
  <c r="X95" i="10" l="1"/>
  <c r="X87" i="10" l="1"/>
  <c r="E95" i="10"/>
  <c r="I60" i="10"/>
  <c r="I60" i="11" s="1"/>
  <c r="I61" i="10"/>
  <c r="I61" i="13" s="1"/>
  <c r="I62" i="10"/>
  <c r="I62" i="13" s="1"/>
  <c r="I63" i="10"/>
  <c r="I63" i="13" s="1"/>
  <c r="I64" i="10"/>
  <c r="I64" i="11" s="1"/>
  <c r="I65" i="10"/>
  <c r="I66" i="10"/>
  <c r="I67" i="10"/>
  <c r="I67" i="13" s="1"/>
  <c r="I68" i="10"/>
  <c r="I68" i="11" s="1"/>
  <c r="I69" i="10"/>
  <c r="I69" i="13" s="1"/>
  <c r="I70" i="10"/>
  <c r="I70" i="13" s="1"/>
  <c r="I71" i="10"/>
  <c r="I71" i="11" s="1"/>
  <c r="W72" i="10"/>
  <c r="E110" i="14"/>
  <c r="R95" i="10"/>
  <c r="F65" i="10"/>
  <c r="F65" i="11" s="1"/>
  <c r="F66" i="10"/>
  <c r="F66" i="11" s="1"/>
  <c r="F67" i="10"/>
  <c r="F67" i="13" s="1"/>
  <c r="F68" i="10"/>
  <c r="F68" i="11" s="1"/>
  <c r="S93" i="10"/>
  <c r="S94" i="10"/>
  <c r="Q95" i="10"/>
  <c r="F60" i="10"/>
  <c r="F61" i="10"/>
  <c r="F61" i="11" s="1"/>
  <c r="F62" i="10"/>
  <c r="F62" i="11" s="1"/>
  <c r="F63" i="10"/>
  <c r="F63" i="11" s="1"/>
  <c r="F64" i="10"/>
  <c r="F64" i="11" s="1"/>
  <c r="F69" i="10"/>
  <c r="F69" i="11" s="1"/>
  <c r="F70" i="10"/>
  <c r="F70" i="11" s="1"/>
  <c r="F71" i="10"/>
  <c r="F71" i="11" s="1"/>
  <c r="E94" i="11"/>
  <c r="E95" i="11" s="1"/>
  <c r="E94" i="13"/>
  <c r="E95" i="13" s="1"/>
  <c r="F87" i="13"/>
  <c r="D87" i="13"/>
  <c r="F87" i="11"/>
  <c r="D87" i="11"/>
  <c r="E180" i="11"/>
  <c r="C311" i="11" s="1"/>
  <c r="E179" i="11"/>
  <c r="C310" i="11" s="1"/>
  <c r="T30" i="10"/>
  <c r="T30" i="11" s="1"/>
  <c r="Q30" i="10"/>
  <c r="Q30" i="13" s="1"/>
  <c r="X72" i="10"/>
  <c r="E177" i="13"/>
  <c r="C310" i="13" s="1"/>
  <c r="AG76" i="10"/>
  <c r="AG77" i="10"/>
  <c r="AG78" i="10"/>
  <c r="AG79" i="10"/>
  <c r="AG80" i="10"/>
  <c r="AG81" i="10"/>
  <c r="AG82" i="10"/>
  <c r="AG83" i="10"/>
  <c r="AG84" i="10"/>
  <c r="AG85" i="10"/>
  <c r="AG86" i="10"/>
  <c r="AG87" i="10"/>
  <c r="I90" i="11"/>
  <c r="I89" i="11"/>
  <c r="I88" i="11"/>
  <c r="H90" i="11"/>
  <c r="H89" i="11"/>
  <c r="H88" i="11"/>
  <c r="I87" i="11"/>
  <c r="H87" i="11"/>
  <c r="I86" i="11"/>
  <c r="I85" i="11"/>
  <c r="H86" i="11"/>
  <c r="H85" i="11"/>
  <c r="I83" i="11"/>
  <c r="I82" i="11"/>
  <c r="I81" i="11"/>
  <c r="I80" i="11"/>
  <c r="H83" i="11"/>
  <c r="H82" i="11"/>
  <c r="H81" i="11"/>
  <c r="H80" i="11"/>
  <c r="H85" i="10"/>
  <c r="H86" i="10" s="1"/>
  <c r="H87" i="10" s="1"/>
  <c r="H80" i="10"/>
  <c r="H81" i="10"/>
  <c r="H82" i="10"/>
  <c r="H83" i="10"/>
  <c r="G95" i="10"/>
  <c r="H88" i="10"/>
  <c r="H89" i="10"/>
  <c r="H90" i="10"/>
  <c r="F95" i="10"/>
  <c r="H95" i="10"/>
  <c r="I95" i="10"/>
  <c r="I164" i="14"/>
  <c r="H164" i="14"/>
  <c r="G164" i="14"/>
  <c r="F164" i="14"/>
  <c r="E164" i="14"/>
  <c r="AF72" i="10"/>
  <c r="W55" i="11"/>
  <c r="V71" i="11"/>
  <c r="V70" i="11"/>
  <c r="V69" i="11"/>
  <c r="V68" i="11"/>
  <c r="V67" i="11"/>
  <c r="V66" i="11"/>
  <c r="V65" i="11"/>
  <c r="V64" i="11"/>
  <c r="V63" i="11"/>
  <c r="V62" i="11"/>
  <c r="V61" i="11"/>
  <c r="V60" i="11"/>
  <c r="C320" i="11"/>
  <c r="C319" i="11"/>
  <c r="C318" i="11"/>
  <c r="B102" i="11"/>
  <c r="B165" i="11"/>
  <c r="B57" i="11"/>
  <c r="H30" i="11"/>
  <c r="E30" i="11"/>
  <c r="E10" i="11"/>
  <c r="B3" i="11"/>
  <c r="E193" i="11"/>
  <c r="C315" i="11" s="1"/>
  <c r="C314" i="11"/>
  <c r="C313" i="11"/>
  <c r="D83" i="11"/>
  <c r="D79" i="11"/>
  <c r="D80" i="11"/>
  <c r="D81" i="11"/>
  <c r="D82" i="11"/>
  <c r="F83" i="11"/>
  <c r="F79" i="11"/>
  <c r="F80" i="11"/>
  <c r="F81" i="11"/>
  <c r="F82" i="11"/>
  <c r="D90" i="11"/>
  <c r="D88" i="11"/>
  <c r="D89" i="11"/>
  <c r="F90" i="11"/>
  <c r="F88" i="11"/>
  <c r="F89" i="11"/>
  <c r="W64" i="11"/>
  <c r="W60" i="11"/>
  <c r="W61" i="11"/>
  <c r="W62" i="11"/>
  <c r="X62" i="11"/>
  <c r="W63" i="11"/>
  <c r="W69" i="11"/>
  <c r="W70" i="11"/>
  <c r="W71" i="11"/>
  <c r="D84" i="11"/>
  <c r="D85" i="11"/>
  <c r="D86" i="11"/>
  <c r="F84" i="11"/>
  <c r="F85" i="11"/>
  <c r="F86" i="11"/>
  <c r="F94" i="11"/>
  <c r="F95" i="11" s="1"/>
  <c r="G94" i="11"/>
  <c r="G95" i="11" s="1"/>
  <c r="H94" i="11"/>
  <c r="H95" i="11" s="1"/>
  <c r="I94" i="11"/>
  <c r="I95" i="11" s="1"/>
  <c r="W68" i="11"/>
  <c r="W65" i="11"/>
  <c r="W66" i="11"/>
  <c r="W67" i="11"/>
  <c r="I293" i="11"/>
  <c r="H293" i="11"/>
  <c r="G293" i="11"/>
  <c r="F293" i="11"/>
  <c r="E293" i="11"/>
  <c r="B286" i="11"/>
  <c r="B285" i="11"/>
  <c r="I263" i="11"/>
  <c r="H263" i="11"/>
  <c r="G263" i="11"/>
  <c r="F263" i="11"/>
  <c r="E263" i="11"/>
  <c r="B239" i="11"/>
  <c r="B238" i="11"/>
  <c r="I217" i="11"/>
  <c r="H217" i="11"/>
  <c r="G217" i="11"/>
  <c r="F217" i="11"/>
  <c r="E217" i="11"/>
  <c r="B209" i="11"/>
  <c r="B208" i="11"/>
  <c r="I198" i="11"/>
  <c r="H198" i="11"/>
  <c r="G198" i="11"/>
  <c r="F198" i="11"/>
  <c r="E198" i="11"/>
  <c r="C184" i="11"/>
  <c r="H175" i="11"/>
  <c r="I166" i="11"/>
  <c r="H166" i="11"/>
  <c r="G166" i="11"/>
  <c r="F166" i="11"/>
  <c r="E166" i="11"/>
  <c r="E150" i="11"/>
  <c r="W162" i="11" s="1"/>
  <c r="H150" i="11"/>
  <c r="Z150" i="11" s="1"/>
  <c r="I150" i="11"/>
  <c r="G150" i="11"/>
  <c r="F150" i="11"/>
  <c r="B144" i="11"/>
  <c r="B143" i="11"/>
  <c r="I128" i="11"/>
  <c r="H128" i="11"/>
  <c r="G128" i="11"/>
  <c r="F128" i="11"/>
  <c r="E128" i="11"/>
  <c r="I110" i="11"/>
  <c r="H110" i="11"/>
  <c r="G110" i="11"/>
  <c r="F110" i="11"/>
  <c r="E110" i="11"/>
  <c r="B104" i="11"/>
  <c r="B103" i="11"/>
  <c r="X95" i="11"/>
  <c r="Y95" i="11" s="1"/>
  <c r="Z95" i="11"/>
  <c r="Y94" i="11"/>
  <c r="Z94" i="11"/>
  <c r="I92" i="11"/>
  <c r="H92" i="11"/>
  <c r="G92" i="11"/>
  <c r="F92" i="11"/>
  <c r="E92" i="11"/>
  <c r="X86" i="11"/>
  <c r="Y86" i="11"/>
  <c r="Z86" i="11"/>
  <c r="X85" i="11"/>
  <c r="Y85" i="11"/>
  <c r="Z85" i="11"/>
  <c r="X84" i="11"/>
  <c r="Y84" i="11"/>
  <c r="Z84" i="11"/>
  <c r="X83" i="11"/>
  <c r="Y83" i="11"/>
  <c r="Z83" i="11"/>
  <c r="X82" i="11"/>
  <c r="Y82" i="11"/>
  <c r="Z82" i="11"/>
  <c r="X81" i="11"/>
  <c r="Y81" i="11"/>
  <c r="Z81" i="11"/>
  <c r="X80" i="11"/>
  <c r="Y80" i="11"/>
  <c r="Z80" i="11"/>
  <c r="X79" i="11"/>
  <c r="Y79" i="11"/>
  <c r="Z79" i="11"/>
  <c r="T13" i="11"/>
  <c r="T31" i="11" s="1"/>
  <c r="Q13" i="11"/>
  <c r="Q79" i="11" s="1"/>
  <c r="X78" i="11"/>
  <c r="Y78" i="11"/>
  <c r="Z78" i="11"/>
  <c r="AB65" i="11"/>
  <c r="AB66" i="11"/>
  <c r="AB67" i="11"/>
  <c r="AB68" i="11"/>
  <c r="X77" i="11"/>
  <c r="Y77" i="11"/>
  <c r="Z77" i="11"/>
  <c r="X76" i="11"/>
  <c r="Y76" i="11"/>
  <c r="Z76" i="11"/>
  <c r="X75" i="11"/>
  <c r="Y75" i="11"/>
  <c r="Z75" i="11"/>
  <c r="AD60" i="11"/>
  <c r="AD61" i="11"/>
  <c r="AD62" i="11"/>
  <c r="AD63" i="11"/>
  <c r="AD64" i="11"/>
  <c r="AD65" i="11"/>
  <c r="AD66" i="11"/>
  <c r="AD67" i="11"/>
  <c r="AD68" i="11"/>
  <c r="AD69" i="11"/>
  <c r="AD70" i="11"/>
  <c r="AD71" i="11"/>
  <c r="AB60" i="11"/>
  <c r="AB61" i="11"/>
  <c r="AB62" i="11"/>
  <c r="AB63" i="11"/>
  <c r="AB64" i="11"/>
  <c r="AB69" i="11"/>
  <c r="AB70" i="11"/>
  <c r="AB71" i="11"/>
  <c r="Z60" i="11"/>
  <c r="Z61" i="11"/>
  <c r="Z62" i="11"/>
  <c r="Z63" i="11"/>
  <c r="Z64" i="11"/>
  <c r="Z65" i="11"/>
  <c r="Z66" i="11"/>
  <c r="Z67" i="11"/>
  <c r="Z68" i="11"/>
  <c r="Z69" i="11"/>
  <c r="Z70" i="11"/>
  <c r="Z71" i="11"/>
  <c r="X60" i="11"/>
  <c r="X61" i="11"/>
  <c r="X63" i="11"/>
  <c r="X64" i="11"/>
  <c r="X65" i="11"/>
  <c r="X66" i="11"/>
  <c r="X67" i="11"/>
  <c r="X68" i="11"/>
  <c r="X69" i="11"/>
  <c r="X70" i="11"/>
  <c r="X71" i="11"/>
  <c r="Q69" i="11"/>
  <c r="U13" i="11"/>
  <c r="U58" i="11" s="1"/>
  <c r="S13" i="11"/>
  <c r="S58" i="11" s="1"/>
  <c r="R13" i="11"/>
  <c r="R31" i="11" s="1"/>
  <c r="Q58" i="11"/>
  <c r="I58" i="11"/>
  <c r="G58" i="11"/>
  <c r="F58" i="11"/>
  <c r="E58" i="11"/>
  <c r="B53" i="11"/>
  <c r="B52" i="11"/>
  <c r="I31" i="11"/>
  <c r="H31" i="11"/>
  <c r="G31" i="11"/>
  <c r="F31" i="11"/>
  <c r="E31" i="11"/>
  <c r="AE71" i="13"/>
  <c r="AE70" i="13"/>
  <c r="W55" i="13"/>
  <c r="V71" i="13"/>
  <c r="V70" i="13"/>
  <c r="V69" i="13"/>
  <c r="V68" i="13"/>
  <c r="V67" i="13"/>
  <c r="V66" i="13"/>
  <c r="V65" i="13"/>
  <c r="V64" i="13"/>
  <c r="V63" i="13"/>
  <c r="V62" i="13"/>
  <c r="V61" i="13"/>
  <c r="V60" i="13"/>
  <c r="C320" i="13"/>
  <c r="C319" i="13"/>
  <c r="C318" i="13"/>
  <c r="D84" i="13"/>
  <c r="D85" i="13"/>
  <c r="D86" i="13"/>
  <c r="F84" i="13"/>
  <c r="F85" i="13"/>
  <c r="F86" i="13"/>
  <c r="C315" i="13"/>
  <c r="F94" i="13"/>
  <c r="F95" i="13" s="1"/>
  <c r="H94" i="13"/>
  <c r="H95" i="13" s="1"/>
  <c r="I94" i="13"/>
  <c r="I95" i="13" s="1"/>
  <c r="H85" i="13"/>
  <c r="H86" i="13" s="1"/>
  <c r="H87" i="13" s="1"/>
  <c r="I85" i="13"/>
  <c r="I86" i="13" s="1"/>
  <c r="I87" i="13" s="1"/>
  <c r="D83" i="13"/>
  <c r="D79" i="13"/>
  <c r="D80" i="13"/>
  <c r="D81" i="13"/>
  <c r="D82" i="13"/>
  <c r="F83" i="13"/>
  <c r="F79" i="13"/>
  <c r="F80" i="13"/>
  <c r="F81" i="13"/>
  <c r="F82" i="13"/>
  <c r="D90" i="13"/>
  <c r="D88" i="13"/>
  <c r="D89" i="13"/>
  <c r="F90" i="13"/>
  <c r="F88" i="13"/>
  <c r="F89" i="13"/>
  <c r="E178" i="13"/>
  <c r="C311" i="13" s="1"/>
  <c r="H80" i="13"/>
  <c r="H81" i="13"/>
  <c r="H82" i="13"/>
  <c r="H83" i="13"/>
  <c r="I80" i="13"/>
  <c r="I81" i="13"/>
  <c r="I82" i="13"/>
  <c r="I83" i="13"/>
  <c r="B102" i="13"/>
  <c r="B163" i="13"/>
  <c r="B57" i="13"/>
  <c r="H30" i="13"/>
  <c r="E30" i="13"/>
  <c r="E10" i="13"/>
  <c r="I90" i="13"/>
  <c r="H90" i="13"/>
  <c r="I89" i="13"/>
  <c r="H89" i="13"/>
  <c r="I88" i="13"/>
  <c r="H88" i="13"/>
  <c r="B3" i="13"/>
  <c r="H92" i="13"/>
  <c r="W68" i="13"/>
  <c r="W65" i="13"/>
  <c r="W66" i="13"/>
  <c r="W67" i="13"/>
  <c r="W64" i="13"/>
  <c r="W60" i="13"/>
  <c r="W61" i="13"/>
  <c r="W62" i="13"/>
  <c r="W63" i="13"/>
  <c r="W71" i="13"/>
  <c r="W69" i="13"/>
  <c r="X84" i="13"/>
  <c r="Y84" i="13"/>
  <c r="Z84" i="13"/>
  <c r="W70" i="13"/>
  <c r="B286" i="13"/>
  <c r="B285" i="13"/>
  <c r="G94" i="13"/>
  <c r="G95" i="13" s="1"/>
  <c r="I293" i="13"/>
  <c r="H293" i="13"/>
  <c r="G293" i="13"/>
  <c r="F293" i="13"/>
  <c r="E293" i="13"/>
  <c r="Z86" i="13"/>
  <c r="Z85" i="13"/>
  <c r="Z83" i="13"/>
  <c r="Z82" i="13"/>
  <c r="Z81" i="13"/>
  <c r="Z80" i="13"/>
  <c r="Z79" i="13"/>
  <c r="Z78" i="13"/>
  <c r="Z77" i="13"/>
  <c r="Z76" i="13"/>
  <c r="Z75" i="13"/>
  <c r="Y86" i="13"/>
  <c r="Y85" i="13"/>
  <c r="Y83" i="13"/>
  <c r="Y82" i="13"/>
  <c r="Y81" i="13"/>
  <c r="Y80" i="13"/>
  <c r="Y79" i="13"/>
  <c r="Y78" i="13"/>
  <c r="Y77" i="13"/>
  <c r="Y76" i="13"/>
  <c r="Y75" i="13"/>
  <c r="X75" i="13"/>
  <c r="X86" i="13"/>
  <c r="X85" i="13"/>
  <c r="Y94" i="13"/>
  <c r="Z94" i="13"/>
  <c r="X95" i="13"/>
  <c r="Y95" i="13" s="1"/>
  <c r="Z95" i="13"/>
  <c r="X83" i="13"/>
  <c r="X82" i="13"/>
  <c r="X81" i="13"/>
  <c r="X80" i="13"/>
  <c r="X79" i="13"/>
  <c r="X78" i="13"/>
  <c r="X77" i="13"/>
  <c r="X76" i="13"/>
  <c r="AD71" i="13"/>
  <c r="AD70" i="13"/>
  <c r="AD69" i="13"/>
  <c r="AD68" i="13"/>
  <c r="AD67" i="13"/>
  <c r="AD66" i="13"/>
  <c r="AD65" i="13"/>
  <c r="AD64" i="13"/>
  <c r="AD63" i="13"/>
  <c r="AD62" i="13"/>
  <c r="AD61" i="13"/>
  <c r="AD60" i="13"/>
  <c r="AE72" i="13"/>
  <c r="AB71" i="13"/>
  <c r="AB70" i="13"/>
  <c r="AB69" i="13"/>
  <c r="AB68" i="13"/>
  <c r="AB67" i="13"/>
  <c r="AB66" i="13"/>
  <c r="AB65" i="13"/>
  <c r="AB64" i="13"/>
  <c r="AB63" i="13"/>
  <c r="AB62" i="13"/>
  <c r="AB61" i="13"/>
  <c r="AB60" i="13"/>
  <c r="Z71" i="13"/>
  <c r="Z70" i="13"/>
  <c r="Z69" i="13"/>
  <c r="Z68" i="13"/>
  <c r="Z67" i="13"/>
  <c r="Z66" i="13"/>
  <c r="Z65" i="13"/>
  <c r="Z64" i="13"/>
  <c r="Z63" i="13"/>
  <c r="Z62" i="13"/>
  <c r="Z61" i="13"/>
  <c r="Z60" i="13"/>
  <c r="X60" i="13"/>
  <c r="X61" i="13"/>
  <c r="X62" i="13"/>
  <c r="X63" i="13"/>
  <c r="X64" i="13"/>
  <c r="X65" i="13"/>
  <c r="X66" i="13"/>
  <c r="X67" i="13"/>
  <c r="X68" i="13"/>
  <c r="X69" i="13"/>
  <c r="X70" i="13"/>
  <c r="X71" i="13"/>
  <c r="I196" i="13"/>
  <c r="H196" i="13"/>
  <c r="G196" i="13"/>
  <c r="F196" i="13"/>
  <c r="E196" i="13"/>
  <c r="I263" i="13"/>
  <c r="H263" i="13"/>
  <c r="G263" i="13"/>
  <c r="F263" i="13"/>
  <c r="E263" i="13"/>
  <c r="H215" i="13"/>
  <c r="H128" i="13"/>
  <c r="H110" i="13"/>
  <c r="H149" i="13"/>
  <c r="Q150" i="13" s="1"/>
  <c r="H164" i="13"/>
  <c r="E149" i="13"/>
  <c r="Z162" i="13" s="1"/>
  <c r="Q13" i="13"/>
  <c r="Q79" i="13" s="1"/>
  <c r="C183" i="13"/>
  <c r="B237" i="13"/>
  <c r="B236" i="13"/>
  <c r="C314" i="13"/>
  <c r="C313" i="13"/>
  <c r="I215" i="13"/>
  <c r="G215" i="13"/>
  <c r="F215" i="13"/>
  <c r="E215" i="13"/>
  <c r="B207" i="13"/>
  <c r="B206" i="13"/>
  <c r="H173" i="13"/>
  <c r="I164" i="13"/>
  <c r="G164" i="13"/>
  <c r="F164" i="13"/>
  <c r="E164" i="13"/>
  <c r="I149" i="13"/>
  <c r="G149" i="13"/>
  <c r="F149" i="13"/>
  <c r="B144" i="13"/>
  <c r="B143" i="13"/>
  <c r="I128" i="13"/>
  <c r="G128" i="13"/>
  <c r="F128" i="13"/>
  <c r="E128" i="13"/>
  <c r="I110" i="13"/>
  <c r="G110" i="13"/>
  <c r="F110" i="13"/>
  <c r="E110" i="13"/>
  <c r="B104" i="13"/>
  <c r="B103" i="13"/>
  <c r="I92" i="13"/>
  <c r="G92" i="13"/>
  <c r="F92" i="13"/>
  <c r="E92" i="13"/>
  <c r="U13" i="13"/>
  <c r="U58" i="13" s="1"/>
  <c r="T13" i="13"/>
  <c r="T58" i="13" s="1"/>
  <c r="S13" i="13"/>
  <c r="S58" i="13" s="1"/>
  <c r="R13" i="13"/>
  <c r="R58" i="13" s="1"/>
  <c r="I58" i="13"/>
  <c r="G58" i="13"/>
  <c r="F58" i="13"/>
  <c r="E58" i="13"/>
  <c r="B53" i="13"/>
  <c r="B52" i="13"/>
  <c r="I31" i="13"/>
  <c r="H31" i="13"/>
  <c r="G31" i="13"/>
  <c r="F31" i="13"/>
  <c r="E31" i="13"/>
  <c r="Y94" i="10"/>
  <c r="Z94" i="10"/>
  <c r="W75" i="10"/>
  <c r="V75" i="10" s="1"/>
  <c r="W76" i="10"/>
  <c r="V76" i="10" s="1"/>
  <c r="W77" i="10"/>
  <c r="V77" i="10" s="1"/>
  <c r="W78" i="10"/>
  <c r="V78" i="10" s="1"/>
  <c r="W79" i="10"/>
  <c r="V79" i="10" s="1"/>
  <c r="W80" i="10"/>
  <c r="V80" i="10" s="1"/>
  <c r="W81" i="10"/>
  <c r="V81" i="10" s="1"/>
  <c r="W82" i="10"/>
  <c r="V82" i="10" s="1"/>
  <c r="W83" i="10"/>
  <c r="V83" i="10" s="1"/>
  <c r="W84" i="10"/>
  <c r="V84" i="10" s="1"/>
  <c r="W85" i="10"/>
  <c r="V85" i="10" s="1"/>
  <c r="W86" i="10"/>
  <c r="V86" i="10" s="1"/>
  <c r="Y95" i="10"/>
  <c r="Z95" i="10"/>
  <c r="Z87" i="10"/>
  <c r="Y87" i="10"/>
  <c r="H92" i="10"/>
  <c r="D87" i="10"/>
  <c r="E87" i="10" s="1"/>
  <c r="E84" i="10"/>
  <c r="D85" i="10"/>
  <c r="E85" i="10" s="1"/>
  <c r="D86" i="10"/>
  <c r="E86" i="10" s="1"/>
  <c r="I85" i="10"/>
  <c r="I86" i="10" s="1"/>
  <c r="I87" i="10" s="1"/>
  <c r="Q163" i="10"/>
  <c r="W163" i="10" s="1"/>
  <c r="D83" i="10"/>
  <c r="E83" i="10" s="1"/>
  <c r="E79" i="10"/>
  <c r="D80" i="10"/>
  <c r="E80" i="10" s="1"/>
  <c r="D81" i="10"/>
  <c r="E81" i="10" s="1"/>
  <c r="D82" i="10"/>
  <c r="E82" i="10" s="1"/>
  <c r="I80" i="10"/>
  <c r="I81" i="10"/>
  <c r="I82" i="10"/>
  <c r="I83" i="10"/>
  <c r="D90" i="10"/>
  <c r="E90" i="10" s="1"/>
  <c r="I90" i="10"/>
  <c r="D88" i="10"/>
  <c r="E88" i="10" s="1"/>
  <c r="D89" i="10"/>
  <c r="E89" i="10" s="1"/>
  <c r="I88" i="10"/>
  <c r="I89" i="10"/>
  <c r="Q168" i="10"/>
  <c r="W168" i="10" s="1"/>
  <c r="B277" i="10"/>
  <c r="B276" i="10"/>
  <c r="I191" i="10"/>
  <c r="H191" i="10"/>
  <c r="G191" i="10"/>
  <c r="F191" i="10"/>
  <c r="E191" i="10"/>
  <c r="I255" i="10"/>
  <c r="H255" i="10"/>
  <c r="G255" i="10"/>
  <c r="F255" i="10"/>
  <c r="E255" i="10"/>
  <c r="H209" i="10"/>
  <c r="Q63" i="10"/>
  <c r="Q67" i="10"/>
  <c r="AD77" i="10"/>
  <c r="H128" i="10"/>
  <c r="H110" i="10"/>
  <c r="H148" i="10"/>
  <c r="AC148" i="10" s="1"/>
  <c r="H162" i="10"/>
  <c r="E148" i="10"/>
  <c r="Z159" i="10" s="1"/>
  <c r="Q13" i="10"/>
  <c r="Q79" i="10" s="1"/>
  <c r="C301" i="10"/>
  <c r="C178" i="10"/>
  <c r="B231" i="10"/>
  <c r="B230" i="10"/>
  <c r="C300" i="10"/>
  <c r="C305" i="10"/>
  <c r="C304" i="10"/>
  <c r="C303" i="10"/>
  <c r="I209" i="10"/>
  <c r="G209" i="10"/>
  <c r="F209" i="10"/>
  <c r="E209" i="10"/>
  <c r="B201" i="10"/>
  <c r="B200" i="10"/>
  <c r="H170" i="10"/>
  <c r="I162" i="10"/>
  <c r="G162" i="10"/>
  <c r="F162" i="10"/>
  <c r="E162" i="10"/>
  <c r="I148" i="10"/>
  <c r="G148" i="10"/>
  <c r="F148" i="10"/>
  <c r="B144" i="10"/>
  <c r="B143" i="10"/>
  <c r="I128" i="10"/>
  <c r="G128" i="10"/>
  <c r="F128" i="10"/>
  <c r="E128" i="10"/>
  <c r="I110" i="10"/>
  <c r="G110" i="10"/>
  <c r="F110" i="10"/>
  <c r="E110" i="10"/>
  <c r="B104" i="10"/>
  <c r="B103" i="10"/>
  <c r="I92" i="10"/>
  <c r="G92" i="10"/>
  <c r="F92" i="10"/>
  <c r="E92" i="10"/>
  <c r="U13" i="10"/>
  <c r="U58" i="10" s="1"/>
  <c r="T13" i="10"/>
  <c r="T79" i="10" s="1"/>
  <c r="S13" i="10"/>
  <c r="S31" i="10" s="1"/>
  <c r="R13" i="10"/>
  <c r="R58" i="10" s="1"/>
  <c r="AB72" i="10"/>
  <c r="I58" i="10"/>
  <c r="G58" i="10"/>
  <c r="F58" i="10"/>
  <c r="E58" i="10"/>
  <c r="B53" i="10"/>
  <c r="B52" i="10"/>
  <c r="I31" i="10"/>
  <c r="H31" i="10"/>
  <c r="G31" i="10"/>
  <c r="F31" i="10"/>
  <c r="E31" i="10"/>
  <c r="B3" i="14"/>
  <c r="F131" i="14"/>
  <c r="G131" i="14"/>
  <c r="H131" i="14"/>
  <c r="I131" i="14"/>
  <c r="E131" i="14"/>
  <c r="B157" i="14"/>
  <c r="B156" i="14"/>
  <c r="B53" i="14"/>
  <c r="B52" i="14"/>
  <c r="B51" i="14"/>
  <c r="B50" i="14"/>
  <c r="B49" i="14"/>
  <c r="B48" i="14"/>
  <c r="B47" i="14"/>
  <c r="T150" i="13"/>
  <c r="Q162" i="13"/>
  <c r="T150" i="11"/>
  <c r="R58" i="11"/>
  <c r="AC162" i="11"/>
  <c r="F60" i="13" l="1"/>
  <c r="F72" i="10"/>
  <c r="Q31" i="11"/>
  <c r="E97" i="11"/>
  <c r="AC150" i="11"/>
  <c r="S31" i="11"/>
  <c r="T162" i="11"/>
  <c r="W162" i="13"/>
  <c r="Z162" i="11"/>
  <c r="Q162" i="11"/>
  <c r="T162" i="13"/>
  <c r="U31" i="10"/>
  <c r="Q150" i="11"/>
  <c r="AA94" i="11"/>
  <c r="R31" i="13"/>
  <c r="W150" i="11"/>
  <c r="AC162" i="13"/>
  <c r="AA95" i="11"/>
  <c r="Z150" i="13"/>
  <c r="S31" i="13"/>
  <c r="U31" i="13"/>
  <c r="U31" i="11"/>
  <c r="T79" i="11"/>
  <c r="W150" i="13"/>
  <c r="AC150" i="13"/>
  <c r="Y67" i="13"/>
  <c r="T159" i="10"/>
  <c r="AA94" i="13"/>
  <c r="H97" i="10"/>
  <c r="T31" i="13"/>
  <c r="Q69" i="13"/>
  <c r="T79" i="13"/>
  <c r="AA95" i="13"/>
  <c r="T58" i="11"/>
  <c r="T69" i="11"/>
  <c r="T69" i="13"/>
  <c r="T148" i="10"/>
  <c r="AC159" i="10"/>
  <c r="AA65" i="13"/>
  <c r="F60" i="11"/>
  <c r="R60" i="11" s="1"/>
  <c r="AA70" i="11"/>
  <c r="AA62" i="13"/>
  <c r="Q31" i="13"/>
  <c r="Q58" i="13"/>
  <c r="E97" i="13"/>
  <c r="Q58" i="10"/>
  <c r="AA95" i="10"/>
  <c r="F70" i="13"/>
  <c r="F66" i="13"/>
  <c r="S95" i="10"/>
  <c r="AA94" i="10"/>
  <c r="AB82" i="10" s="1"/>
  <c r="AC82" i="10" s="1"/>
  <c r="F65" i="13"/>
  <c r="F61" i="13"/>
  <c r="Q31" i="10"/>
  <c r="G97" i="10"/>
  <c r="I70" i="11"/>
  <c r="F69" i="13"/>
  <c r="W148" i="10"/>
  <c r="G60" i="11"/>
  <c r="AC60" i="13"/>
  <c r="AC60" i="11"/>
  <c r="I97" i="10"/>
  <c r="Q69" i="10"/>
  <c r="R31" i="10"/>
  <c r="Z148" i="10"/>
  <c r="T31" i="10"/>
  <c r="Q148" i="10"/>
  <c r="F68" i="13"/>
  <c r="I69" i="11"/>
  <c r="G65" i="10"/>
  <c r="AC65" i="11"/>
  <c r="AC65" i="13"/>
  <c r="G61" i="10"/>
  <c r="G61" i="11" s="1"/>
  <c r="AC61" i="11"/>
  <c r="AC61" i="13"/>
  <c r="G71" i="10"/>
  <c r="G71" i="11" s="1"/>
  <c r="AC71" i="11"/>
  <c r="AC71" i="13"/>
  <c r="G68" i="10"/>
  <c r="G68" i="13" s="1"/>
  <c r="AC68" i="11"/>
  <c r="AC68" i="13"/>
  <c r="G64" i="10"/>
  <c r="G64" i="11" s="1"/>
  <c r="AC64" i="11"/>
  <c r="AC64" i="13"/>
  <c r="Y67" i="11"/>
  <c r="Y64" i="11"/>
  <c r="I63" i="11"/>
  <c r="G70" i="10"/>
  <c r="G70" i="13" s="1"/>
  <c r="AC70" i="11"/>
  <c r="AC70" i="13"/>
  <c r="G67" i="10"/>
  <c r="G67" i="11" s="1"/>
  <c r="AC67" i="11"/>
  <c r="AC67" i="13"/>
  <c r="G63" i="10"/>
  <c r="G63" i="13" s="1"/>
  <c r="AC63" i="11"/>
  <c r="AC63" i="13"/>
  <c r="Y64" i="13"/>
  <c r="W79" i="13"/>
  <c r="V79" i="13" s="1"/>
  <c r="G69" i="10"/>
  <c r="G69" i="11" s="1"/>
  <c r="AC69" i="11"/>
  <c r="AC69" i="13"/>
  <c r="G66" i="10"/>
  <c r="G66" i="13" s="1"/>
  <c r="AC66" i="11"/>
  <c r="AC66" i="13"/>
  <c r="G62" i="10"/>
  <c r="G62" i="11" s="1"/>
  <c r="AC62" i="11"/>
  <c r="AC62" i="13"/>
  <c r="Y65" i="11"/>
  <c r="Y62" i="13"/>
  <c r="Y71" i="13"/>
  <c r="Y60" i="11"/>
  <c r="W86" i="13"/>
  <c r="V86" i="13" s="1"/>
  <c r="Y60" i="13"/>
  <c r="W78" i="11"/>
  <c r="V78" i="11" s="1"/>
  <c r="W81" i="11"/>
  <c r="V81" i="11" s="1"/>
  <c r="W82" i="11"/>
  <c r="V82" i="11" s="1"/>
  <c r="W86" i="11"/>
  <c r="V86" i="11" s="1"/>
  <c r="Y62" i="11"/>
  <c r="Y70" i="13"/>
  <c r="W77" i="13"/>
  <c r="V77" i="13" s="1"/>
  <c r="W75" i="13"/>
  <c r="V75" i="13" s="1"/>
  <c r="Y63" i="13"/>
  <c r="Y68" i="13"/>
  <c r="W79" i="11"/>
  <c r="V79" i="11" s="1"/>
  <c r="Q167" i="13"/>
  <c r="W167" i="13" s="1"/>
  <c r="Y71" i="11"/>
  <c r="AD77" i="11"/>
  <c r="W85" i="11"/>
  <c r="V85" i="11" s="1"/>
  <c r="Y66" i="11"/>
  <c r="T69" i="10"/>
  <c r="W78" i="13"/>
  <c r="V78" i="13" s="1"/>
  <c r="W84" i="11"/>
  <c r="V84" i="11" s="1"/>
  <c r="Y69" i="11"/>
  <c r="I64" i="13"/>
  <c r="S58" i="10"/>
  <c r="E97" i="10"/>
  <c r="Q63" i="13"/>
  <c r="Q159" i="10"/>
  <c r="T58" i="10"/>
  <c r="Y65" i="13"/>
  <c r="AB72" i="13"/>
  <c r="AD77" i="13"/>
  <c r="AD72" i="11"/>
  <c r="Y68" i="11"/>
  <c r="Y72" i="10"/>
  <c r="I68" i="13"/>
  <c r="I71" i="13"/>
  <c r="I67" i="11"/>
  <c r="I60" i="13"/>
  <c r="W82" i="13"/>
  <c r="V82" i="13" s="1"/>
  <c r="Y61" i="11"/>
  <c r="F62" i="13"/>
  <c r="W159" i="10"/>
  <c r="Z72" i="13"/>
  <c r="T30" i="13"/>
  <c r="Q30" i="11"/>
  <c r="R64" i="10"/>
  <c r="U60" i="10"/>
  <c r="H97" i="11"/>
  <c r="F97" i="11"/>
  <c r="G97" i="11"/>
  <c r="W83" i="13"/>
  <c r="V83" i="13" s="1"/>
  <c r="W84" i="13"/>
  <c r="V84" i="13" s="1"/>
  <c r="Y70" i="11"/>
  <c r="AB72" i="11"/>
  <c r="W80" i="11"/>
  <c r="V80" i="11" s="1"/>
  <c r="Q172" i="13"/>
  <c r="W172" i="13" s="1"/>
  <c r="W76" i="13"/>
  <c r="V76" i="13" s="1"/>
  <c r="W80" i="13"/>
  <c r="V80" i="13" s="1"/>
  <c r="W85" i="13"/>
  <c r="V85" i="13" s="1"/>
  <c r="W81" i="13"/>
  <c r="V81" i="13" s="1"/>
  <c r="X72" i="11"/>
  <c r="Z72" i="11"/>
  <c r="W76" i="11"/>
  <c r="V76" i="11" s="1"/>
  <c r="W77" i="11"/>
  <c r="V77" i="11" s="1"/>
  <c r="W83" i="11"/>
  <c r="V83" i="11" s="1"/>
  <c r="Y63" i="11"/>
  <c r="E237" i="10"/>
  <c r="Q63" i="11"/>
  <c r="W72" i="11"/>
  <c r="AD72" i="13"/>
  <c r="Q172" i="11"/>
  <c r="W172" i="11" s="1"/>
  <c r="E243" i="13"/>
  <c r="X72" i="13"/>
  <c r="Y69" i="13"/>
  <c r="Q67" i="13"/>
  <c r="E245" i="11"/>
  <c r="E116" i="14"/>
  <c r="AC72" i="10"/>
  <c r="W75" i="11"/>
  <c r="V75" i="11" s="1"/>
  <c r="W87" i="10"/>
  <c r="V87" i="10"/>
  <c r="I66" i="13"/>
  <c r="I66" i="11"/>
  <c r="I62" i="11"/>
  <c r="I110" i="14"/>
  <c r="U64" i="10"/>
  <c r="I65" i="13"/>
  <c r="I65" i="11"/>
  <c r="I61" i="11"/>
  <c r="I72" i="10"/>
  <c r="T95" i="10"/>
  <c r="F71" i="13"/>
  <c r="F67" i="11"/>
  <c r="R60" i="10"/>
  <c r="F64" i="13"/>
  <c r="F63" i="13"/>
  <c r="Q167" i="11"/>
  <c r="W167" i="11" s="1"/>
  <c r="Y66" i="13"/>
  <c r="Y61" i="13"/>
  <c r="Q67" i="11"/>
  <c r="W72" i="13"/>
  <c r="H71" i="10" l="1"/>
  <c r="AG69" i="13"/>
  <c r="AG67" i="11"/>
  <c r="H65" i="10"/>
  <c r="H65" i="13" s="1"/>
  <c r="AG63" i="11"/>
  <c r="AG61" i="13"/>
  <c r="H68" i="10"/>
  <c r="H68" i="13" s="1"/>
  <c r="AG62" i="13"/>
  <c r="I97" i="11"/>
  <c r="AB83" i="11"/>
  <c r="AC83" i="11" s="1"/>
  <c r="AB78" i="11"/>
  <c r="AC78" i="11" s="1"/>
  <c r="AB77" i="11"/>
  <c r="AC77" i="11" s="1"/>
  <c r="AB86" i="11"/>
  <c r="AC86" i="11" s="1"/>
  <c r="AH71" i="13"/>
  <c r="AB76" i="11"/>
  <c r="AC76" i="11" s="1"/>
  <c r="AB80" i="11"/>
  <c r="AC80" i="11" s="1"/>
  <c r="AB84" i="11"/>
  <c r="AC84" i="11" s="1"/>
  <c r="AB85" i="11"/>
  <c r="AC85" i="11" s="1"/>
  <c r="AB79" i="11"/>
  <c r="AC79" i="11" s="1"/>
  <c r="AB82" i="11"/>
  <c r="AC82" i="11" s="1"/>
  <c r="AB75" i="11"/>
  <c r="AC75" i="11" s="1"/>
  <c r="AB81" i="11"/>
  <c r="AC81" i="11" s="1"/>
  <c r="AH72" i="10"/>
  <c r="AG70" i="11"/>
  <c r="AH70" i="13"/>
  <c r="AB80" i="13"/>
  <c r="AC80" i="13" s="1"/>
  <c r="AB77" i="13"/>
  <c r="AC77" i="13" s="1"/>
  <c r="AB86" i="13"/>
  <c r="AC86" i="13" s="1"/>
  <c r="AB76" i="13"/>
  <c r="AC76" i="13" s="1"/>
  <c r="AB82" i="13"/>
  <c r="AC82" i="13" s="1"/>
  <c r="AB78" i="13"/>
  <c r="AC78" i="13" s="1"/>
  <c r="AB81" i="13"/>
  <c r="AC81" i="13" s="1"/>
  <c r="AB84" i="13"/>
  <c r="AC84" i="13" s="1"/>
  <c r="AB79" i="13"/>
  <c r="AC79" i="13" s="1"/>
  <c r="AB85" i="13"/>
  <c r="AC85" i="13" s="1"/>
  <c r="AB83" i="13"/>
  <c r="AC83" i="13" s="1"/>
  <c r="AB75" i="13"/>
  <c r="AC75" i="13" s="1"/>
  <c r="I168" i="11"/>
  <c r="G71" i="13"/>
  <c r="AF86" i="10"/>
  <c r="F97" i="10"/>
  <c r="AB86" i="10"/>
  <c r="AC86" i="10" s="1"/>
  <c r="AA65" i="11"/>
  <c r="AF81" i="10"/>
  <c r="AF78" i="10"/>
  <c r="E65" i="10"/>
  <c r="G67" i="13"/>
  <c r="G65" i="11"/>
  <c r="E243" i="10"/>
  <c r="I166" i="13"/>
  <c r="G60" i="13"/>
  <c r="E62" i="10"/>
  <c r="AA62" i="11"/>
  <c r="E70" i="10"/>
  <c r="AA70" i="13"/>
  <c r="G63" i="11"/>
  <c r="G62" i="13"/>
  <c r="AB83" i="10"/>
  <c r="AC83" i="10" s="1"/>
  <c r="AB75" i="10"/>
  <c r="AC75" i="10" s="1"/>
  <c r="AB76" i="10"/>
  <c r="AC76" i="10" s="1"/>
  <c r="AB77" i="10"/>
  <c r="AC77" i="10" s="1"/>
  <c r="AB78" i="10"/>
  <c r="AC78" i="10" s="1"/>
  <c r="AB79" i="10"/>
  <c r="AC79" i="10" s="1"/>
  <c r="AB80" i="10"/>
  <c r="AC80" i="10" s="1"/>
  <c r="AB84" i="10"/>
  <c r="AC84" i="10" s="1"/>
  <c r="AB81" i="10"/>
  <c r="AC81" i="10" s="1"/>
  <c r="AB85" i="10"/>
  <c r="AC85" i="10" s="1"/>
  <c r="G110" i="14"/>
  <c r="G65" i="13"/>
  <c r="R64" i="13"/>
  <c r="F294" i="13"/>
  <c r="G64" i="13"/>
  <c r="S64" i="10"/>
  <c r="G70" i="11"/>
  <c r="G66" i="11"/>
  <c r="G72" i="10"/>
  <c r="G61" i="13"/>
  <c r="G69" i="13"/>
  <c r="S60" i="10"/>
  <c r="G68" i="11"/>
  <c r="Y72" i="11"/>
  <c r="U60" i="13"/>
  <c r="E249" i="13"/>
  <c r="I116" i="14"/>
  <c r="E251" i="11"/>
  <c r="I72" i="11"/>
  <c r="U60" i="11"/>
  <c r="I237" i="10"/>
  <c r="I247" i="10" s="1"/>
  <c r="I243" i="13"/>
  <c r="I253" i="13" s="1"/>
  <c r="I245" i="11"/>
  <c r="I255" i="11" s="1"/>
  <c r="I120" i="14"/>
  <c r="U64" i="11"/>
  <c r="I294" i="11"/>
  <c r="I294" i="13"/>
  <c r="U64" i="13"/>
  <c r="I72" i="13"/>
  <c r="F294" i="11"/>
  <c r="F72" i="11"/>
  <c r="F295" i="11" s="1"/>
  <c r="R66" i="10"/>
  <c r="R65" i="10"/>
  <c r="R64" i="11"/>
  <c r="F72" i="13"/>
  <c r="R60" i="13"/>
  <c r="Y72" i="13"/>
  <c r="AG71" i="13"/>
  <c r="AG66" i="13"/>
  <c r="H66" i="10"/>
  <c r="AG66" i="11"/>
  <c r="AG60" i="11"/>
  <c r="H60" i="10"/>
  <c r="AG60" i="13"/>
  <c r="AG64" i="13"/>
  <c r="H64" i="10"/>
  <c r="AG64" i="11"/>
  <c r="AA69" i="11"/>
  <c r="AA69" i="13"/>
  <c r="AF85" i="10"/>
  <c r="E69" i="10"/>
  <c r="E66" i="10"/>
  <c r="AF82" i="10"/>
  <c r="AA66" i="13"/>
  <c r="AA66" i="11"/>
  <c r="AF77" i="10"/>
  <c r="AA61" i="13"/>
  <c r="AA61" i="11"/>
  <c r="E61" i="10"/>
  <c r="E67" i="10"/>
  <c r="AA67" i="11"/>
  <c r="AF83" i="10"/>
  <c r="AA67" i="13"/>
  <c r="AA68" i="13"/>
  <c r="AF84" i="10"/>
  <c r="E68" i="10"/>
  <c r="AA68" i="11"/>
  <c r="AA60" i="13"/>
  <c r="AA60" i="11"/>
  <c r="E60" i="10"/>
  <c r="AA72" i="10"/>
  <c r="AF87" i="10"/>
  <c r="E71" i="10"/>
  <c r="AA71" i="11"/>
  <c r="AA71" i="13"/>
  <c r="AA64" i="11"/>
  <c r="AA64" i="13"/>
  <c r="E64" i="10"/>
  <c r="AF80" i="10"/>
  <c r="AF79" i="10"/>
  <c r="E63" i="10"/>
  <c r="AA63" i="13"/>
  <c r="AA63" i="11"/>
  <c r="H61" i="10" l="1"/>
  <c r="H61" i="13" s="1"/>
  <c r="AG61" i="11"/>
  <c r="H63" i="10"/>
  <c r="H63" i="13" s="1"/>
  <c r="AG63" i="13"/>
  <c r="H68" i="11"/>
  <c r="AG71" i="11"/>
  <c r="AG68" i="13"/>
  <c r="H69" i="10"/>
  <c r="AG69" i="11"/>
  <c r="AG68" i="11"/>
  <c r="H62" i="10"/>
  <c r="H62" i="11" s="1"/>
  <c r="AG65" i="13"/>
  <c r="H67" i="10"/>
  <c r="H67" i="11" s="1"/>
  <c r="H65" i="11"/>
  <c r="AG62" i="11"/>
  <c r="AG65" i="11"/>
  <c r="AG67" i="13"/>
  <c r="H33" i="13"/>
  <c r="T33" i="13" s="1"/>
  <c r="H34" i="13"/>
  <c r="T34" i="13" s="1"/>
  <c r="T35" i="10"/>
  <c r="H39" i="11"/>
  <c r="T39" i="11" s="1"/>
  <c r="H43" i="13"/>
  <c r="T43" i="13" s="1"/>
  <c r="Q37" i="10"/>
  <c r="E41" i="11"/>
  <c r="Q41" i="11" s="1"/>
  <c r="E38" i="13"/>
  <c r="Q38" i="13" s="1"/>
  <c r="E39" i="13"/>
  <c r="Q39" i="13" s="1"/>
  <c r="E42" i="13"/>
  <c r="Q42" i="13" s="1"/>
  <c r="E40" i="13"/>
  <c r="Q40" i="13" s="1"/>
  <c r="E34" i="13"/>
  <c r="Q34" i="13" s="1"/>
  <c r="Q20" i="10"/>
  <c r="E20" i="11"/>
  <c r="Q20" i="11" s="1"/>
  <c r="E20" i="13"/>
  <c r="Q20" i="13" s="1"/>
  <c r="G17" i="11"/>
  <c r="S17" i="11" s="1"/>
  <c r="G17" i="13"/>
  <c r="S17" i="13" s="1"/>
  <c r="S17" i="10"/>
  <c r="Q18" i="10"/>
  <c r="E18" i="13"/>
  <c r="Q18" i="13" s="1"/>
  <c r="E18" i="11"/>
  <c r="Q18" i="11" s="1"/>
  <c r="F20" i="13"/>
  <c r="R20" i="10"/>
  <c r="F20" i="11"/>
  <c r="F113" i="10"/>
  <c r="F131" i="10" s="1"/>
  <c r="H25" i="13"/>
  <c r="T25" i="13" s="1"/>
  <c r="T25" i="10"/>
  <c r="H25" i="11"/>
  <c r="T25" i="11" s="1"/>
  <c r="I25" i="11"/>
  <c r="U25" i="11" s="1"/>
  <c r="U25" i="10"/>
  <c r="I25" i="13"/>
  <c r="U25" i="13" s="1"/>
  <c r="G22" i="13"/>
  <c r="S22" i="13" s="1"/>
  <c r="G22" i="11"/>
  <c r="S22" i="11" s="1"/>
  <c r="S22" i="10"/>
  <c r="F22" i="11"/>
  <c r="R22" i="11" s="1"/>
  <c r="F22" i="13"/>
  <c r="R22" i="13" s="1"/>
  <c r="R22" i="10"/>
  <c r="Q23" i="10"/>
  <c r="E23" i="11"/>
  <c r="Q23" i="11" s="1"/>
  <c r="E23" i="13"/>
  <c r="Q23" i="13" s="1"/>
  <c r="R18" i="10"/>
  <c r="F18" i="11"/>
  <c r="R18" i="11" s="1"/>
  <c r="F18" i="13"/>
  <c r="R18" i="13" s="1"/>
  <c r="H22" i="13"/>
  <c r="T22" i="13" s="1"/>
  <c r="T22" i="10"/>
  <c r="H22" i="11"/>
  <c r="T22" i="11" s="1"/>
  <c r="I17" i="13"/>
  <c r="U17" i="13" s="1"/>
  <c r="I17" i="11"/>
  <c r="U17" i="11" s="1"/>
  <c r="U17" i="10"/>
  <c r="G20" i="13"/>
  <c r="S20" i="13" s="1"/>
  <c r="S20" i="10"/>
  <c r="G20" i="11"/>
  <c r="S20" i="11" s="1"/>
  <c r="E16" i="11"/>
  <c r="Q16" i="11" s="1"/>
  <c r="Q16" i="10"/>
  <c r="E16" i="13"/>
  <c r="Q16" i="13" s="1"/>
  <c r="F23" i="13"/>
  <c r="R23" i="13" s="1"/>
  <c r="R23" i="10"/>
  <c r="F23" i="11"/>
  <c r="R23" i="11" s="1"/>
  <c r="T20" i="10"/>
  <c r="H20" i="11"/>
  <c r="T20" i="11" s="1"/>
  <c r="H20" i="13"/>
  <c r="T20" i="13" s="1"/>
  <c r="I22" i="11"/>
  <c r="U22" i="11" s="1"/>
  <c r="I22" i="13"/>
  <c r="U22" i="13" s="1"/>
  <c r="U22" i="10"/>
  <c r="S18" i="10"/>
  <c r="G18" i="11"/>
  <c r="S18" i="11" s="1"/>
  <c r="G18" i="13"/>
  <c r="S18" i="13" s="1"/>
  <c r="E21" i="13"/>
  <c r="Q21" i="13" s="1"/>
  <c r="Q21" i="10"/>
  <c r="E21" i="11"/>
  <c r="Q21" i="11" s="1"/>
  <c r="F16" i="13"/>
  <c r="R16" i="13" s="1"/>
  <c r="R16" i="10"/>
  <c r="F16" i="11"/>
  <c r="R16" i="11" s="1"/>
  <c r="T18" i="10"/>
  <c r="H18" i="13"/>
  <c r="T18" i="13" s="1"/>
  <c r="H18" i="11"/>
  <c r="T18" i="11" s="1"/>
  <c r="I20" i="13"/>
  <c r="I20" i="11"/>
  <c r="U20" i="10"/>
  <c r="I113" i="10"/>
  <c r="I131" i="10" s="1"/>
  <c r="G23" i="11"/>
  <c r="S23" i="11" s="1"/>
  <c r="S23" i="10"/>
  <c r="G23" i="13"/>
  <c r="S23" i="13" s="1"/>
  <c r="E26" i="11"/>
  <c r="Q26" i="11" s="1"/>
  <c r="Q26" i="10"/>
  <c r="E26" i="13"/>
  <c r="Q26" i="13" s="1"/>
  <c r="F21" i="13"/>
  <c r="R21" i="13" s="1"/>
  <c r="R21" i="10"/>
  <c r="F21" i="11"/>
  <c r="R21" i="11" s="1"/>
  <c r="H23" i="11"/>
  <c r="T23" i="11" s="1"/>
  <c r="T23" i="10"/>
  <c r="H23" i="13"/>
  <c r="T23" i="13" s="1"/>
  <c r="U18" i="10"/>
  <c r="I18" i="13"/>
  <c r="U18" i="13" s="1"/>
  <c r="I18" i="11"/>
  <c r="U18" i="11" s="1"/>
  <c r="G16" i="11"/>
  <c r="S16" i="11" s="1"/>
  <c r="G16" i="13"/>
  <c r="S16" i="13" s="1"/>
  <c r="S16" i="10"/>
  <c r="G113" i="10"/>
  <c r="G131" i="10" s="1"/>
  <c r="E19" i="13"/>
  <c r="Q19" i="13" s="1"/>
  <c r="E19" i="11"/>
  <c r="Q19" i="11" s="1"/>
  <c r="Q19" i="10"/>
  <c r="R26" i="10"/>
  <c r="F26" i="13"/>
  <c r="R26" i="13" s="1"/>
  <c r="F26" i="11"/>
  <c r="R26" i="11" s="1"/>
  <c r="H16" i="11"/>
  <c r="T16" i="11" s="1"/>
  <c r="H16" i="13"/>
  <c r="T16" i="13" s="1"/>
  <c r="T16" i="10"/>
  <c r="I23" i="11"/>
  <c r="U23" i="11" s="1"/>
  <c r="U23" i="10"/>
  <c r="I23" i="13"/>
  <c r="U23" i="13" s="1"/>
  <c r="S21" i="10"/>
  <c r="G21" i="13"/>
  <c r="S21" i="13" s="1"/>
  <c r="G21" i="11"/>
  <c r="S21" i="11" s="1"/>
  <c r="Q24" i="10"/>
  <c r="E24" i="11"/>
  <c r="Q24" i="11" s="1"/>
  <c r="E24" i="13"/>
  <c r="Q24" i="13" s="1"/>
  <c r="F19" i="11"/>
  <c r="R19" i="11" s="1"/>
  <c r="F19" i="13"/>
  <c r="R19" i="13" s="1"/>
  <c r="R19" i="10"/>
  <c r="T21" i="10"/>
  <c r="H21" i="11"/>
  <c r="T21" i="11" s="1"/>
  <c r="H21" i="13"/>
  <c r="T21" i="13" s="1"/>
  <c r="I16" i="11"/>
  <c r="U16" i="11" s="1"/>
  <c r="I16" i="13"/>
  <c r="U16" i="13" s="1"/>
  <c r="U16" i="10"/>
  <c r="S26" i="10"/>
  <c r="G26" i="13"/>
  <c r="S26" i="13" s="1"/>
  <c r="G26" i="11"/>
  <c r="S26" i="11" s="1"/>
  <c r="I19" i="13"/>
  <c r="U19" i="13" s="1"/>
  <c r="I19" i="11"/>
  <c r="U19" i="11" s="1"/>
  <c r="U19" i="10"/>
  <c r="E17" i="11"/>
  <c r="Q17" i="11" s="1"/>
  <c r="E17" i="13"/>
  <c r="Q17" i="13" s="1"/>
  <c r="Q17" i="10"/>
  <c r="F24" i="13"/>
  <c r="R24" i="13" s="1"/>
  <c r="F24" i="11"/>
  <c r="R24" i="11" s="1"/>
  <c r="R24" i="10"/>
  <c r="H26" i="13"/>
  <c r="T26" i="13" s="1"/>
  <c r="T26" i="10"/>
  <c r="H26" i="11"/>
  <c r="T26" i="11" s="1"/>
  <c r="U21" i="10"/>
  <c r="I21" i="13"/>
  <c r="U21" i="13" s="1"/>
  <c r="I21" i="11"/>
  <c r="U21" i="11" s="1"/>
  <c r="G19" i="11"/>
  <c r="S19" i="11" s="1"/>
  <c r="S19" i="10"/>
  <c r="G19" i="13"/>
  <c r="S19" i="13" s="1"/>
  <c r="G117" i="10"/>
  <c r="G135" i="10" s="1"/>
  <c r="E22" i="13"/>
  <c r="Q22" i="13" s="1"/>
  <c r="E22" i="11"/>
  <c r="Q22" i="11" s="1"/>
  <c r="Q22" i="10"/>
  <c r="F17" i="13"/>
  <c r="R17" i="13" s="1"/>
  <c r="R17" i="10"/>
  <c r="F17" i="11"/>
  <c r="R17" i="11" s="1"/>
  <c r="H19" i="13"/>
  <c r="T19" i="13" s="1"/>
  <c r="T19" i="10"/>
  <c r="H19" i="11"/>
  <c r="T19" i="11" s="1"/>
  <c r="I26" i="11"/>
  <c r="U26" i="11" s="1"/>
  <c r="U26" i="10"/>
  <c r="I26" i="13"/>
  <c r="U26" i="13" s="1"/>
  <c r="G24" i="11"/>
  <c r="S24" i="11" s="1"/>
  <c r="G24" i="13"/>
  <c r="S24" i="13" s="1"/>
  <c r="S24" i="10"/>
  <c r="Q15" i="10"/>
  <c r="E15" i="13"/>
  <c r="Q15" i="13" s="1"/>
  <c r="E15" i="11"/>
  <c r="Q15" i="11" s="1"/>
  <c r="R15" i="10"/>
  <c r="F15" i="11"/>
  <c r="F15" i="13"/>
  <c r="F117" i="10"/>
  <c r="F135" i="10" s="1"/>
  <c r="T15" i="10"/>
  <c r="H15" i="13"/>
  <c r="T15" i="13" s="1"/>
  <c r="H15" i="11"/>
  <c r="T15" i="11" s="1"/>
  <c r="U15" i="10"/>
  <c r="I15" i="13"/>
  <c r="I15" i="11"/>
  <c r="I117" i="10"/>
  <c r="I135" i="10" s="1"/>
  <c r="G15" i="13"/>
  <c r="S15" i="13" s="1"/>
  <c r="G15" i="11"/>
  <c r="S15" i="11" s="1"/>
  <c r="S15" i="10"/>
  <c r="H17" i="11"/>
  <c r="T17" i="11" s="1"/>
  <c r="H17" i="13"/>
  <c r="T17" i="13" s="1"/>
  <c r="T17" i="10"/>
  <c r="Q25" i="10"/>
  <c r="E25" i="11"/>
  <c r="Q25" i="11" s="1"/>
  <c r="E25" i="13"/>
  <c r="Q25" i="13" s="1"/>
  <c r="F25" i="11"/>
  <c r="R25" i="11" s="1"/>
  <c r="R25" i="10"/>
  <c r="F25" i="13"/>
  <c r="R25" i="13" s="1"/>
  <c r="H24" i="13"/>
  <c r="T24" i="13" s="1"/>
  <c r="T24" i="10"/>
  <c r="H24" i="11"/>
  <c r="T24" i="11" s="1"/>
  <c r="I24" i="11"/>
  <c r="U24" i="11" s="1"/>
  <c r="I24" i="13"/>
  <c r="U24" i="13" s="1"/>
  <c r="U24" i="10"/>
  <c r="S25" i="10"/>
  <c r="G25" i="11"/>
  <c r="S25" i="11" s="1"/>
  <c r="G25" i="13"/>
  <c r="S25" i="13" s="1"/>
  <c r="AH72" i="13"/>
  <c r="AG72" i="10"/>
  <c r="AG70" i="13"/>
  <c r="H70" i="10"/>
  <c r="T60" i="10" s="1"/>
  <c r="H63" i="11"/>
  <c r="H168" i="11"/>
  <c r="H166" i="13"/>
  <c r="E65" i="13"/>
  <c r="M65" i="13" s="1"/>
  <c r="M70" i="10"/>
  <c r="T34" i="10"/>
  <c r="H34" i="11"/>
  <c r="T34" i="11" s="1"/>
  <c r="H35" i="11"/>
  <c r="T35" i="11" s="1"/>
  <c r="T40" i="10"/>
  <c r="H41" i="11"/>
  <c r="T41" i="11" s="1"/>
  <c r="H35" i="13"/>
  <c r="T35" i="13" s="1"/>
  <c r="E35" i="11"/>
  <c r="Q35" i="11" s="1"/>
  <c r="E41" i="13"/>
  <c r="Q41" i="13" s="1"/>
  <c r="E37" i="11"/>
  <c r="Q37" i="11" s="1"/>
  <c r="J65" i="10"/>
  <c r="E37" i="13"/>
  <c r="Q37" i="13" s="1"/>
  <c r="E65" i="11"/>
  <c r="M65" i="10"/>
  <c r="F97" i="13"/>
  <c r="F168" i="11"/>
  <c r="F166" i="13"/>
  <c r="E166" i="13"/>
  <c r="E168" i="11"/>
  <c r="S60" i="11"/>
  <c r="E70" i="13"/>
  <c r="M70" i="13" s="1"/>
  <c r="E70" i="11"/>
  <c r="M70" i="11" s="1"/>
  <c r="M62" i="10"/>
  <c r="E62" i="13"/>
  <c r="M62" i="13" s="1"/>
  <c r="E62" i="11"/>
  <c r="G97" i="13"/>
  <c r="AB87" i="10"/>
  <c r="G237" i="10"/>
  <c r="G247" i="10" s="1"/>
  <c r="G245" i="11"/>
  <c r="G255" i="11" s="1"/>
  <c r="G120" i="14"/>
  <c r="G243" i="13"/>
  <c r="G253" i="13" s="1"/>
  <c r="AC87" i="10"/>
  <c r="G294" i="11"/>
  <c r="S64" i="13"/>
  <c r="G294" i="13"/>
  <c r="G72" i="11"/>
  <c r="G295" i="11" s="1"/>
  <c r="G116" i="14"/>
  <c r="G72" i="13"/>
  <c r="G295" i="13" s="1"/>
  <c r="S60" i="13"/>
  <c r="S64" i="11"/>
  <c r="J164" i="10"/>
  <c r="AC72" i="11"/>
  <c r="AC72" i="13"/>
  <c r="G166" i="13"/>
  <c r="G168" i="11"/>
  <c r="I295" i="11"/>
  <c r="I295" i="13"/>
  <c r="F113" i="14"/>
  <c r="R65" i="11"/>
  <c r="R65" i="13"/>
  <c r="E180" i="10"/>
  <c r="E181" i="10" s="1"/>
  <c r="F114" i="14"/>
  <c r="R66" i="11"/>
  <c r="R66" i="13"/>
  <c r="F295" i="13"/>
  <c r="H69" i="11"/>
  <c r="H69" i="13"/>
  <c r="H71" i="11"/>
  <c r="H71" i="13"/>
  <c r="H64" i="13"/>
  <c r="H64" i="11"/>
  <c r="H60" i="11"/>
  <c r="H60" i="13"/>
  <c r="H66" i="11"/>
  <c r="H66" i="13"/>
  <c r="M69" i="10"/>
  <c r="E69" i="11"/>
  <c r="E69" i="13"/>
  <c r="J69" i="10"/>
  <c r="E61" i="11"/>
  <c r="M61" i="10"/>
  <c r="E61" i="13"/>
  <c r="E66" i="13"/>
  <c r="E66" i="11"/>
  <c r="J66" i="10"/>
  <c r="M66" i="10"/>
  <c r="E60" i="11"/>
  <c r="Q60" i="10"/>
  <c r="E117" i="10"/>
  <c r="E135" i="10" s="1"/>
  <c r="Q71" i="10"/>
  <c r="Q72" i="10"/>
  <c r="T166" i="10" s="1"/>
  <c r="E72" i="10"/>
  <c r="E60" i="13"/>
  <c r="J60" i="10"/>
  <c r="M60" i="10"/>
  <c r="AA72" i="11"/>
  <c r="E63" i="13"/>
  <c r="J63" i="10"/>
  <c r="M63" i="10"/>
  <c r="E63" i="11"/>
  <c r="M64" i="10"/>
  <c r="E64" i="11"/>
  <c r="J64" i="10"/>
  <c r="E64" i="13"/>
  <c r="AA72" i="13"/>
  <c r="E71" i="13"/>
  <c r="E71" i="11"/>
  <c r="M71" i="10"/>
  <c r="J71" i="10"/>
  <c r="E68" i="11"/>
  <c r="E68" i="13"/>
  <c r="M68" i="10"/>
  <c r="J68" i="10"/>
  <c r="E67" i="11"/>
  <c r="E67" i="13"/>
  <c r="Q64" i="10"/>
  <c r="Q76" i="10"/>
  <c r="M67" i="10"/>
  <c r="E113" i="10"/>
  <c r="E131" i="10" s="1"/>
  <c r="Q75" i="10"/>
  <c r="J67" i="10" l="1"/>
  <c r="H67" i="13"/>
  <c r="H114" i="13" s="1"/>
  <c r="H132" i="13" s="1"/>
  <c r="H61" i="11"/>
  <c r="J61" i="11" s="1"/>
  <c r="J61" i="10"/>
  <c r="C11" i="31"/>
  <c r="C13" i="31" s="1"/>
  <c r="C17" i="31" s="1"/>
  <c r="C11" i="33"/>
  <c r="C13" i="33" s="1"/>
  <c r="C17" i="33" s="1"/>
  <c r="T76" i="10"/>
  <c r="T150" i="10" s="1"/>
  <c r="T75" i="10"/>
  <c r="T77" i="10" s="1"/>
  <c r="T151" i="10" s="1"/>
  <c r="T64" i="10"/>
  <c r="H113" i="10"/>
  <c r="H131" i="10" s="1"/>
  <c r="J131" i="10" s="1"/>
  <c r="H62" i="13"/>
  <c r="J62" i="13" s="1"/>
  <c r="J62" i="10"/>
  <c r="AG72" i="11"/>
  <c r="H111" i="14"/>
  <c r="H238" i="10" s="1"/>
  <c r="AG72" i="13"/>
  <c r="Q41" i="10"/>
  <c r="E112" i="10"/>
  <c r="E130" i="10" s="1"/>
  <c r="C11" i="28"/>
  <c r="D11" i="28" s="1"/>
  <c r="D13" i="28" s="1"/>
  <c r="D17" i="28" s="1"/>
  <c r="E42" i="11"/>
  <c r="Q42" i="11" s="1"/>
  <c r="G113" i="11"/>
  <c r="G131" i="11" s="1"/>
  <c r="H38" i="11"/>
  <c r="T38" i="11" s="1"/>
  <c r="T38" i="10"/>
  <c r="H38" i="13"/>
  <c r="T38" i="13" s="1"/>
  <c r="H44" i="11"/>
  <c r="T44" i="11" s="1"/>
  <c r="H44" i="13"/>
  <c r="T44" i="13" s="1"/>
  <c r="H42" i="13"/>
  <c r="T42" i="13" s="1"/>
  <c r="T42" i="10"/>
  <c r="H37" i="11"/>
  <c r="T37" i="11" s="1"/>
  <c r="H37" i="13"/>
  <c r="T37" i="13" s="1"/>
  <c r="T43" i="10"/>
  <c r="H43" i="11"/>
  <c r="T43" i="11" s="1"/>
  <c r="T44" i="10"/>
  <c r="H41" i="13"/>
  <c r="T41" i="13" s="1"/>
  <c r="T41" i="10"/>
  <c r="H42" i="11"/>
  <c r="T42" i="11" s="1"/>
  <c r="H40" i="11"/>
  <c r="T40" i="11" s="1"/>
  <c r="H40" i="13"/>
  <c r="T40" i="13" s="1"/>
  <c r="T39" i="10"/>
  <c r="H39" i="13"/>
  <c r="T39" i="13" s="1"/>
  <c r="H36" i="13"/>
  <c r="T36" i="13" s="1"/>
  <c r="T36" i="10"/>
  <c r="H36" i="11"/>
  <c r="T36" i="11" s="1"/>
  <c r="T65" i="10"/>
  <c r="Q150" i="10" s="1"/>
  <c r="T37" i="10"/>
  <c r="T33" i="10"/>
  <c r="H33" i="11"/>
  <c r="T33" i="11" s="1"/>
  <c r="E38" i="11"/>
  <c r="Q38" i="11" s="1"/>
  <c r="R161" i="10"/>
  <c r="E111" i="14"/>
  <c r="E238" i="10" s="1"/>
  <c r="E43" i="11"/>
  <c r="Q43" i="11" s="1"/>
  <c r="E43" i="13"/>
  <c r="Q43" i="13" s="1"/>
  <c r="Q43" i="10"/>
  <c r="Q34" i="10"/>
  <c r="R166" i="10"/>
  <c r="E34" i="11"/>
  <c r="Q34" i="11" s="1"/>
  <c r="Q42" i="10"/>
  <c r="E40" i="11"/>
  <c r="Q40" i="11" s="1"/>
  <c r="E44" i="13"/>
  <c r="Q44" i="13" s="1"/>
  <c r="Q44" i="10"/>
  <c r="E44" i="11"/>
  <c r="Q44" i="11" s="1"/>
  <c r="E36" i="11"/>
  <c r="Q36" i="11" s="1"/>
  <c r="E36" i="13"/>
  <c r="Q36" i="13" s="1"/>
  <c r="Q36" i="10"/>
  <c r="Q40" i="10"/>
  <c r="E39" i="11"/>
  <c r="Q39" i="11" s="1"/>
  <c r="Q35" i="10"/>
  <c r="E35" i="13"/>
  <c r="Q35" i="13" s="1"/>
  <c r="Q38" i="10"/>
  <c r="Q39" i="10"/>
  <c r="Q33" i="10"/>
  <c r="E33" i="13"/>
  <c r="Q33" i="13" s="1"/>
  <c r="E33" i="11"/>
  <c r="Q33" i="11" s="1"/>
  <c r="E116" i="10"/>
  <c r="E134" i="10" s="1"/>
  <c r="AC169" i="10" s="1"/>
  <c r="H112" i="10"/>
  <c r="H130" i="10" s="1"/>
  <c r="I112" i="10"/>
  <c r="I130" i="10" s="1"/>
  <c r="G117" i="11"/>
  <c r="G135" i="11" s="1"/>
  <c r="G118" i="11"/>
  <c r="G136" i="11" s="1"/>
  <c r="G116" i="11"/>
  <c r="G134" i="11" s="1"/>
  <c r="G156" i="11" s="1"/>
  <c r="G112" i="13"/>
  <c r="G130" i="13" s="1"/>
  <c r="G151" i="13" s="1"/>
  <c r="G116" i="10"/>
  <c r="G134" i="10" s="1"/>
  <c r="G153" i="10" s="1"/>
  <c r="G118" i="13"/>
  <c r="G136" i="13" s="1"/>
  <c r="F116" i="10"/>
  <c r="F134" i="10" s="1"/>
  <c r="F153" i="10" s="1"/>
  <c r="G112" i="10"/>
  <c r="G130" i="10" s="1"/>
  <c r="G113" i="13"/>
  <c r="G131" i="13" s="1"/>
  <c r="E118" i="10"/>
  <c r="E136" i="10" s="1"/>
  <c r="E114" i="10"/>
  <c r="E132" i="10" s="1"/>
  <c r="H114" i="10"/>
  <c r="H132" i="10" s="1"/>
  <c r="G114" i="11"/>
  <c r="G132" i="11" s="1"/>
  <c r="I114" i="10"/>
  <c r="I132" i="10" s="1"/>
  <c r="G114" i="13"/>
  <c r="G132" i="13" s="1"/>
  <c r="U15" i="13"/>
  <c r="I118" i="13" s="1"/>
  <c r="I136" i="13" s="1"/>
  <c r="I117" i="13"/>
  <c r="I135" i="13" s="1"/>
  <c r="R20" i="11"/>
  <c r="F114" i="11" s="1"/>
  <c r="F132" i="11" s="1"/>
  <c r="F113" i="11"/>
  <c r="F131" i="11" s="1"/>
  <c r="I118" i="10"/>
  <c r="I136" i="10" s="1"/>
  <c r="F114" i="10"/>
  <c r="F132" i="10" s="1"/>
  <c r="R20" i="13"/>
  <c r="F114" i="13" s="1"/>
  <c r="F132" i="13" s="1"/>
  <c r="F113" i="13"/>
  <c r="F131" i="13" s="1"/>
  <c r="U20" i="11"/>
  <c r="I114" i="11" s="1"/>
  <c r="I132" i="11" s="1"/>
  <c r="I113" i="11"/>
  <c r="I131" i="11" s="1"/>
  <c r="G112" i="11"/>
  <c r="G130" i="11" s="1"/>
  <c r="G152" i="11" s="1"/>
  <c r="U20" i="13"/>
  <c r="I114" i="13" s="1"/>
  <c r="I132" i="13" s="1"/>
  <c r="I113" i="13"/>
  <c r="I131" i="13" s="1"/>
  <c r="R15" i="13"/>
  <c r="F118" i="13" s="1"/>
  <c r="F136" i="13" s="1"/>
  <c r="F117" i="13"/>
  <c r="F135" i="13" s="1"/>
  <c r="G117" i="13"/>
  <c r="G135" i="13" s="1"/>
  <c r="G118" i="10"/>
  <c r="G136" i="10" s="1"/>
  <c r="G116" i="13"/>
  <c r="G134" i="13" s="1"/>
  <c r="G155" i="13" s="1"/>
  <c r="R15" i="11"/>
  <c r="F118" i="11" s="1"/>
  <c r="F136" i="11" s="1"/>
  <c r="F117" i="11"/>
  <c r="F135" i="11" s="1"/>
  <c r="G114" i="10"/>
  <c r="G132" i="10" s="1"/>
  <c r="F118" i="10"/>
  <c r="F136" i="10" s="1"/>
  <c r="I116" i="10"/>
  <c r="I134" i="10" s="1"/>
  <c r="I153" i="10" s="1"/>
  <c r="F112" i="10"/>
  <c r="U15" i="11"/>
  <c r="I118" i="11" s="1"/>
  <c r="I136" i="11" s="1"/>
  <c r="I117" i="11"/>
  <c r="I135" i="11" s="1"/>
  <c r="Q166" i="10"/>
  <c r="W166" i="10" s="1"/>
  <c r="H117" i="10"/>
  <c r="H135" i="10" s="1"/>
  <c r="J135" i="10" s="1"/>
  <c r="J70" i="10"/>
  <c r="H118" i="10"/>
  <c r="H136" i="10" s="1"/>
  <c r="H70" i="11"/>
  <c r="T71" i="11" s="1"/>
  <c r="H116" i="10"/>
  <c r="H134" i="10" s="1"/>
  <c r="AC156" i="10" s="1"/>
  <c r="H72" i="10"/>
  <c r="T61" i="10"/>
  <c r="Q154" i="10" s="1"/>
  <c r="H70" i="13"/>
  <c r="T71" i="10"/>
  <c r="T72" i="10"/>
  <c r="J65" i="13"/>
  <c r="H174" i="10"/>
  <c r="F197" i="10" s="1"/>
  <c r="M65" i="11"/>
  <c r="J65" i="11"/>
  <c r="J166" i="13"/>
  <c r="H178" i="13" s="1"/>
  <c r="F203" i="13" s="1"/>
  <c r="G121" i="14"/>
  <c r="G122" i="14" s="1"/>
  <c r="J168" i="11"/>
  <c r="H179" i="11" s="1"/>
  <c r="G203" i="11" s="1"/>
  <c r="G251" i="11"/>
  <c r="G256" i="11" s="1"/>
  <c r="G257" i="11" s="1"/>
  <c r="J62" i="11"/>
  <c r="M62" i="11"/>
  <c r="I97" i="13"/>
  <c r="H97" i="13"/>
  <c r="G243" i="10"/>
  <c r="G248" i="10" s="1"/>
  <c r="G249" i="10" s="1"/>
  <c r="G249" i="13"/>
  <c r="G254" i="13" s="1"/>
  <c r="G255" i="13" s="1"/>
  <c r="H173" i="10"/>
  <c r="E195" i="10" s="1"/>
  <c r="E186" i="11"/>
  <c r="E187" i="11" s="1"/>
  <c r="F248" i="11"/>
  <c r="F120" i="14"/>
  <c r="F240" i="10"/>
  <c r="F246" i="13"/>
  <c r="F116" i="14"/>
  <c r="F249" i="11"/>
  <c r="F241" i="10"/>
  <c r="F247" i="13"/>
  <c r="E185" i="13"/>
  <c r="E186" i="13" s="1"/>
  <c r="T76" i="13"/>
  <c r="H112" i="13"/>
  <c r="H113" i="13"/>
  <c r="H131" i="13" s="1"/>
  <c r="T75" i="13"/>
  <c r="H112" i="11"/>
  <c r="T64" i="11"/>
  <c r="H114" i="11"/>
  <c r="H132" i="11" s="1"/>
  <c r="H294" i="11"/>
  <c r="T76" i="11"/>
  <c r="T75" i="11"/>
  <c r="H113" i="11"/>
  <c r="H131" i="11" s="1"/>
  <c r="J66" i="11"/>
  <c r="M66" i="11"/>
  <c r="M69" i="13"/>
  <c r="J69" i="13"/>
  <c r="M61" i="11"/>
  <c r="M61" i="13"/>
  <c r="J61" i="13"/>
  <c r="M66" i="13"/>
  <c r="J66" i="13"/>
  <c r="J69" i="11"/>
  <c r="M69" i="11"/>
  <c r="M67" i="11"/>
  <c r="E294" i="11"/>
  <c r="J67" i="11"/>
  <c r="Q76" i="11"/>
  <c r="Q64" i="11"/>
  <c r="E113" i="11"/>
  <c r="E131" i="11" s="1"/>
  <c r="E114" i="11"/>
  <c r="E132" i="11" s="1"/>
  <c r="Q75" i="11"/>
  <c r="E112" i="11"/>
  <c r="M68" i="13"/>
  <c r="J68" i="13"/>
  <c r="M71" i="11"/>
  <c r="J71" i="11"/>
  <c r="J63" i="13"/>
  <c r="M63" i="13"/>
  <c r="M72" i="10"/>
  <c r="Q61" i="10"/>
  <c r="Q82" i="10" s="1"/>
  <c r="Q161" i="10"/>
  <c r="Q65" i="10"/>
  <c r="Q86" i="10" s="1"/>
  <c r="M68" i="11"/>
  <c r="J68" i="11"/>
  <c r="M71" i="13"/>
  <c r="J71" i="13"/>
  <c r="J64" i="13"/>
  <c r="M64" i="13"/>
  <c r="J63" i="11"/>
  <c r="M63" i="11"/>
  <c r="R72" i="10"/>
  <c r="R76" i="10"/>
  <c r="T161" i="10"/>
  <c r="R165" i="13"/>
  <c r="E72" i="13"/>
  <c r="E118" i="13"/>
  <c r="E136" i="13" s="1"/>
  <c r="E116" i="13"/>
  <c r="E134" i="13" s="1"/>
  <c r="Q71" i="13"/>
  <c r="J60" i="13"/>
  <c r="Q60" i="13"/>
  <c r="E117" i="13"/>
  <c r="E135" i="13" s="1"/>
  <c r="Q72" i="13"/>
  <c r="M60" i="13"/>
  <c r="Q77" i="10"/>
  <c r="T162" i="10" s="1"/>
  <c r="J67" i="13"/>
  <c r="M67" i="13"/>
  <c r="E113" i="13"/>
  <c r="E131" i="13" s="1"/>
  <c r="Q64" i="13"/>
  <c r="E112" i="13"/>
  <c r="E294" i="13"/>
  <c r="Q76" i="13"/>
  <c r="Q75" i="13"/>
  <c r="E114" i="13"/>
  <c r="E132" i="13" s="1"/>
  <c r="R166" i="13"/>
  <c r="J64" i="11"/>
  <c r="M64" i="11"/>
  <c r="Q73" i="10"/>
  <c r="T167" i="10" s="1"/>
  <c r="Q71" i="11"/>
  <c r="M60" i="11"/>
  <c r="Q60" i="11"/>
  <c r="E72" i="11"/>
  <c r="J60" i="11"/>
  <c r="Q72" i="11"/>
  <c r="E118" i="11"/>
  <c r="E136" i="11" s="1"/>
  <c r="E116" i="11"/>
  <c r="E134" i="11" s="1"/>
  <c r="E117" i="11"/>
  <c r="E135" i="11" s="1"/>
  <c r="T64" i="13" l="1"/>
  <c r="H294" i="13"/>
  <c r="U76" i="10"/>
  <c r="H112" i="14"/>
  <c r="H239" i="10" s="1"/>
  <c r="H247" i="10" s="1"/>
  <c r="H117" i="14"/>
  <c r="H250" i="13" s="1"/>
  <c r="H246" i="11"/>
  <c r="H244" i="13"/>
  <c r="T65" i="11"/>
  <c r="Q153" i="11" s="1"/>
  <c r="H204" i="11" s="1"/>
  <c r="F112" i="11"/>
  <c r="F130" i="11" s="1"/>
  <c r="E246" i="11"/>
  <c r="E117" i="14"/>
  <c r="E250" i="13" s="1"/>
  <c r="E112" i="14"/>
  <c r="E239" i="10" s="1"/>
  <c r="E247" i="10" s="1"/>
  <c r="E244" i="13"/>
  <c r="E120" i="10"/>
  <c r="E153" i="10"/>
  <c r="Z168" i="10" s="1"/>
  <c r="Q87" i="10"/>
  <c r="Q66" i="10"/>
  <c r="R166" i="11"/>
  <c r="T65" i="13"/>
  <c r="U65" i="13" s="1"/>
  <c r="G159" i="13"/>
  <c r="G160" i="11"/>
  <c r="J70" i="11"/>
  <c r="T66" i="10"/>
  <c r="Q151" i="10" s="1"/>
  <c r="W151" i="10" s="1"/>
  <c r="H151" i="10" s="1"/>
  <c r="H213" i="10" s="1"/>
  <c r="W150" i="10"/>
  <c r="H150" i="10" s="1"/>
  <c r="Z150" i="10" s="1"/>
  <c r="U65" i="10"/>
  <c r="T86" i="10"/>
  <c r="T87" i="10" s="1"/>
  <c r="T61" i="13"/>
  <c r="Q157" i="13" s="1"/>
  <c r="H204" i="13" s="1"/>
  <c r="R171" i="13"/>
  <c r="R167" i="10"/>
  <c r="R168" i="10" s="1"/>
  <c r="R165" i="11"/>
  <c r="E204" i="11" s="1"/>
  <c r="Q162" i="10"/>
  <c r="U161" i="10" s="1"/>
  <c r="X161" i="10" s="1"/>
  <c r="E150" i="10" s="1"/>
  <c r="R162" i="10"/>
  <c r="R163" i="10" s="1"/>
  <c r="R170" i="13"/>
  <c r="E204" i="13" s="1"/>
  <c r="R171" i="11"/>
  <c r="Q167" i="10"/>
  <c r="U166" i="10" s="1"/>
  <c r="X166" i="10" s="1"/>
  <c r="E154" i="10" s="1"/>
  <c r="Z166" i="10" s="1"/>
  <c r="Q62" i="10"/>
  <c r="R170" i="11"/>
  <c r="G219" i="11"/>
  <c r="G265" i="11" s="1"/>
  <c r="G11" i="14" s="1"/>
  <c r="F217" i="10"/>
  <c r="Q83" i="10"/>
  <c r="G138" i="11"/>
  <c r="G120" i="11"/>
  <c r="I112" i="11"/>
  <c r="I130" i="11" s="1"/>
  <c r="J136" i="10"/>
  <c r="G120" i="10"/>
  <c r="G120" i="13"/>
  <c r="I116" i="13"/>
  <c r="I134" i="13" s="1"/>
  <c r="I155" i="13" s="1"/>
  <c r="G138" i="13"/>
  <c r="F116" i="11"/>
  <c r="F134" i="11" s="1"/>
  <c r="F156" i="11" s="1"/>
  <c r="J132" i="10"/>
  <c r="I112" i="13"/>
  <c r="F130" i="10"/>
  <c r="J130" i="10" s="1"/>
  <c r="F120" i="10"/>
  <c r="I120" i="10"/>
  <c r="I116" i="11"/>
  <c r="I134" i="11" s="1"/>
  <c r="I156" i="11" s="1"/>
  <c r="I149" i="10"/>
  <c r="I157" i="10" s="1"/>
  <c r="I138" i="10"/>
  <c r="F116" i="13"/>
  <c r="F134" i="13" s="1"/>
  <c r="F155" i="13" s="1"/>
  <c r="F223" i="13" s="1"/>
  <c r="F112" i="13"/>
  <c r="G149" i="10"/>
  <c r="G157" i="10" s="1"/>
  <c r="G138" i="10"/>
  <c r="C13" i="28"/>
  <c r="C17" i="28" s="1"/>
  <c r="H117" i="11"/>
  <c r="H135" i="11" s="1"/>
  <c r="J135" i="11" s="1"/>
  <c r="H153" i="10"/>
  <c r="J134" i="10"/>
  <c r="H72" i="11"/>
  <c r="H295" i="11" s="1"/>
  <c r="H118" i="13"/>
  <c r="H136" i="13" s="1"/>
  <c r="J136" i="13" s="1"/>
  <c r="H116" i="13"/>
  <c r="H134" i="13" s="1"/>
  <c r="AC159" i="13" s="1"/>
  <c r="H118" i="11"/>
  <c r="H136" i="11" s="1"/>
  <c r="J136" i="11" s="1"/>
  <c r="T72" i="11"/>
  <c r="U72" i="11" s="1"/>
  <c r="H117" i="13"/>
  <c r="H135" i="13" s="1"/>
  <c r="J135" i="13" s="1"/>
  <c r="T61" i="11"/>
  <c r="Q157" i="11" s="1"/>
  <c r="T60" i="11"/>
  <c r="T72" i="13"/>
  <c r="H116" i="11"/>
  <c r="H134" i="11" s="1"/>
  <c r="AC159" i="11" s="1"/>
  <c r="U61" i="10"/>
  <c r="J72" i="10"/>
  <c r="H120" i="10"/>
  <c r="T62" i="10"/>
  <c r="Q155" i="10" s="1"/>
  <c r="J70" i="13"/>
  <c r="U72" i="10"/>
  <c r="H72" i="13"/>
  <c r="H295" i="13" s="1"/>
  <c r="T60" i="13"/>
  <c r="T82" i="10"/>
  <c r="T83" i="10" s="1"/>
  <c r="T71" i="13"/>
  <c r="T154" i="10"/>
  <c r="W154" i="10" s="1"/>
  <c r="H154" i="10" s="1"/>
  <c r="Z154" i="10" s="1"/>
  <c r="T73" i="10"/>
  <c r="T155" i="10" s="1"/>
  <c r="T66" i="11"/>
  <c r="Q154" i="11" s="1"/>
  <c r="H177" i="13"/>
  <c r="G201" i="13" s="1"/>
  <c r="G217" i="13" s="1"/>
  <c r="G265" i="13" s="1"/>
  <c r="E197" i="10"/>
  <c r="G197" i="10"/>
  <c r="G217" i="10" s="1"/>
  <c r="G263" i="10" s="1"/>
  <c r="G269" i="10" s="1"/>
  <c r="I197" i="10"/>
  <c r="I217" i="10" s="1"/>
  <c r="E198" i="10"/>
  <c r="H198" i="10"/>
  <c r="G203" i="13"/>
  <c r="G223" i="13" s="1"/>
  <c r="G271" i="13" s="1"/>
  <c r="I203" i="13"/>
  <c r="J294" i="13"/>
  <c r="F299" i="13" s="1"/>
  <c r="I203" i="11"/>
  <c r="F203" i="11"/>
  <c r="E203" i="11"/>
  <c r="H180" i="11"/>
  <c r="I205" i="11" s="1"/>
  <c r="H196" i="10"/>
  <c r="F195" i="10"/>
  <c r="H175" i="10"/>
  <c r="E196" i="10"/>
  <c r="G195" i="10"/>
  <c r="I195" i="10"/>
  <c r="Q77" i="11"/>
  <c r="T166" i="11" s="1"/>
  <c r="Q166" i="11"/>
  <c r="Q171" i="13"/>
  <c r="T77" i="11"/>
  <c r="T154" i="11" s="1"/>
  <c r="F255" i="11"/>
  <c r="F247" i="10"/>
  <c r="F121" i="14"/>
  <c r="F122" i="14" s="1"/>
  <c r="F251" i="11"/>
  <c r="F243" i="10"/>
  <c r="F248" i="10" s="1"/>
  <c r="F249" i="13"/>
  <c r="F254" i="13" s="1"/>
  <c r="F253" i="13"/>
  <c r="Q166" i="13"/>
  <c r="J294" i="11"/>
  <c r="F299" i="11" s="1"/>
  <c r="U76" i="11"/>
  <c r="T153" i="11"/>
  <c r="H130" i="11"/>
  <c r="T77" i="13"/>
  <c r="T154" i="13" s="1"/>
  <c r="H130" i="13"/>
  <c r="U76" i="13"/>
  <c r="T153" i="13"/>
  <c r="H138" i="10"/>
  <c r="AC152" i="10"/>
  <c r="H149" i="10"/>
  <c r="Q77" i="13"/>
  <c r="T166" i="13" s="1"/>
  <c r="Q66" i="13"/>
  <c r="T170" i="11"/>
  <c r="R72" i="11"/>
  <c r="M72" i="11"/>
  <c r="Q170" i="11"/>
  <c r="Q61" i="11"/>
  <c r="Q82" i="11" s="1"/>
  <c r="Q83" i="11" s="1"/>
  <c r="Q171" i="11"/>
  <c r="AC173" i="13"/>
  <c r="E155" i="13"/>
  <c r="J131" i="11"/>
  <c r="E149" i="10"/>
  <c r="E138" i="10"/>
  <c r="AC164" i="10"/>
  <c r="AC171" i="10" s="1"/>
  <c r="Q73" i="11"/>
  <c r="T171" i="11" s="1"/>
  <c r="Q62" i="11"/>
  <c r="T165" i="13"/>
  <c r="R76" i="13"/>
  <c r="J131" i="13"/>
  <c r="M72" i="13"/>
  <c r="Q61" i="13"/>
  <c r="Q82" i="13" s="1"/>
  <c r="Q83" i="13" s="1"/>
  <c r="Q170" i="13"/>
  <c r="E130" i="11"/>
  <c r="E120" i="11"/>
  <c r="AC173" i="11"/>
  <c r="E156" i="11"/>
  <c r="E295" i="11"/>
  <c r="E295" i="13"/>
  <c r="E203" i="13"/>
  <c r="Q66" i="11"/>
  <c r="W161" i="10"/>
  <c r="J132" i="13"/>
  <c r="E120" i="13"/>
  <c r="E130" i="13"/>
  <c r="Q65" i="13"/>
  <c r="Q86" i="13" s="1"/>
  <c r="Q87" i="13" s="1"/>
  <c r="Q165" i="13"/>
  <c r="R72" i="13"/>
  <c r="T170" i="13"/>
  <c r="Q73" i="13"/>
  <c r="T171" i="13" s="1"/>
  <c r="Q62" i="13"/>
  <c r="J132" i="11"/>
  <c r="R76" i="11"/>
  <c r="T165" i="11"/>
  <c r="Q165" i="11"/>
  <c r="Q65" i="11"/>
  <c r="Q86" i="11" s="1"/>
  <c r="Q87" i="11" s="1"/>
  <c r="H120" i="14" l="1"/>
  <c r="H252" i="11"/>
  <c r="H245" i="13"/>
  <c r="H247" i="11"/>
  <c r="W153" i="11"/>
  <c r="H153" i="11" s="1"/>
  <c r="H220" i="11" s="1"/>
  <c r="T86" i="11"/>
  <c r="T87" i="11" s="1"/>
  <c r="H255" i="11"/>
  <c r="H118" i="14"/>
  <c r="H245" i="10" s="1"/>
  <c r="H253" i="13"/>
  <c r="U65" i="11"/>
  <c r="H244" i="10"/>
  <c r="G38" i="14"/>
  <c r="G22" i="14"/>
  <c r="G32" i="14"/>
  <c r="W162" i="10"/>
  <c r="E252" i="11"/>
  <c r="E245" i="13"/>
  <c r="E253" i="13" s="1"/>
  <c r="E120" i="14"/>
  <c r="J120" i="14" s="1"/>
  <c r="E247" i="11"/>
  <c r="E255" i="11" s="1"/>
  <c r="U167" i="10"/>
  <c r="X167" i="10" s="1"/>
  <c r="E155" i="10" s="1"/>
  <c r="E118" i="14"/>
  <c r="U162" i="10"/>
  <c r="X162" i="10" s="1"/>
  <c r="E151" i="10" s="1"/>
  <c r="E213" i="10" s="1"/>
  <c r="E259" i="10" s="1"/>
  <c r="E66" i="14" s="1"/>
  <c r="T66" i="13"/>
  <c r="Q154" i="13" s="1"/>
  <c r="W154" i="13" s="1"/>
  <c r="H153" i="13" s="1"/>
  <c r="Z154" i="13" s="1"/>
  <c r="E244" i="10"/>
  <c r="E217" i="10"/>
  <c r="E263" i="10" s="1"/>
  <c r="E70" i="14" s="1"/>
  <c r="T86" i="13"/>
  <c r="T87" i="13" s="1"/>
  <c r="Q153" i="13"/>
  <c r="H202" i="13" s="1"/>
  <c r="J72" i="11"/>
  <c r="Q164" i="10"/>
  <c r="H212" i="10"/>
  <c r="H258" i="10" s="1"/>
  <c r="T62" i="13"/>
  <c r="Q158" i="13" s="1"/>
  <c r="T82" i="13"/>
  <c r="T83" i="13" s="1"/>
  <c r="G276" i="11"/>
  <c r="Q169" i="10"/>
  <c r="W167" i="10"/>
  <c r="I120" i="13"/>
  <c r="I223" i="13"/>
  <c r="G211" i="10"/>
  <c r="G257" i="10" s="1"/>
  <c r="G268" i="10" s="1"/>
  <c r="G270" i="10" s="1"/>
  <c r="G273" i="10" s="1"/>
  <c r="F120" i="11"/>
  <c r="I130" i="13"/>
  <c r="I151" i="13" s="1"/>
  <c r="I159" i="13" s="1"/>
  <c r="T157" i="13"/>
  <c r="W157" i="13" s="1"/>
  <c r="H156" i="13" s="1"/>
  <c r="H224" i="13" s="1"/>
  <c r="H272" i="13" s="1"/>
  <c r="I225" i="11"/>
  <c r="I120" i="11"/>
  <c r="I152" i="11"/>
  <c r="I160" i="11" s="1"/>
  <c r="I138" i="11"/>
  <c r="F152" i="11"/>
  <c r="F160" i="11" s="1"/>
  <c r="F138" i="11"/>
  <c r="F130" i="13"/>
  <c r="F120" i="13"/>
  <c r="I211" i="10"/>
  <c r="I257" i="10" s="1"/>
  <c r="I268" i="10" s="1"/>
  <c r="C122" i="10"/>
  <c r="F149" i="10"/>
  <c r="F157" i="10" s="1"/>
  <c r="F138" i="10"/>
  <c r="T82" i="11"/>
  <c r="T83" i="11" s="1"/>
  <c r="T62" i="11"/>
  <c r="Q158" i="11" s="1"/>
  <c r="H155" i="13"/>
  <c r="J134" i="13"/>
  <c r="T157" i="11"/>
  <c r="W157" i="11" s="1"/>
  <c r="H157" i="11" s="1"/>
  <c r="U61" i="13"/>
  <c r="T73" i="13"/>
  <c r="T158" i="13" s="1"/>
  <c r="U61" i="11"/>
  <c r="T73" i="11"/>
  <c r="T158" i="11" s="1"/>
  <c r="J134" i="11"/>
  <c r="H120" i="11"/>
  <c r="H156" i="11"/>
  <c r="W155" i="10"/>
  <c r="H155" i="10" s="1"/>
  <c r="H219" i="10" s="1"/>
  <c r="H218" i="10"/>
  <c r="U72" i="13"/>
  <c r="H120" i="13"/>
  <c r="J72" i="13"/>
  <c r="W154" i="11"/>
  <c r="H154" i="11" s="1"/>
  <c r="F201" i="13"/>
  <c r="E202" i="13"/>
  <c r="E201" i="13"/>
  <c r="G276" i="13"/>
  <c r="I201" i="13"/>
  <c r="H179" i="13"/>
  <c r="G70" i="14"/>
  <c r="G76" i="14" s="1"/>
  <c r="E194" i="10"/>
  <c r="G205" i="11"/>
  <c r="G225" i="11" s="1"/>
  <c r="G271" i="11" s="1"/>
  <c r="G17" i="14" s="1"/>
  <c r="F205" i="11"/>
  <c r="F225" i="11" s="1"/>
  <c r="F271" i="11" s="1"/>
  <c r="F17" i="14" s="1"/>
  <c r="E205" i="11"/>
  <c r="E225" i="11" s="1"/>
  <c r="E271" i="11" s="1"/>
  <c r="E17" i="14" s="1"/>
  <c r="H181" i="11"/>
  <c r="E206" i="11"/>
  <c r="H206" i="11"/>
  <c r="H194" i="10"/>
  <c r="F194" i="10"/>
  <c r="Z151" i="10"/>
  <c r="Z152" i="10" s="1"/>
  <c r="I194" i="10"/>
  <c r="I221" i="10" s="1"/>
  <c r="G194" i="10"/>
  <c r="G221" i="10" s="1"/>
  <c r="G277" i="13"/>
  <c r="W166" i="11"/>
  <c r="U166" i="11"/>
  <c r="X166" i="11" s="1"/>
  <c r="E154" i="11" s="1"/>
  <c r="E221" i="11" s="1"/>
  <c r="W166" i="13"/>
  <c r="J295" i="13"/>
  <c r="F300" i="13" s="1"/>
  <c r="F249" i="10"/>
  <c r="F255" i="13"/>
  <c r="F263" i="10"/>
  <c r="F269" i="10" s="1"/>
  <c r="F271" i="13"/>
  <c r="F256" i="11"/>
  <c r="F257" i="11" s="1"/>
  <c r="J295" i="11"/>
  <c r="F300" i="11" s="1"/>
  <c r="H259" i="10"/>
  <c r="H66" i="14" s="1"/>
  <c r="H138" i="11"/>
  <c r="AC155" i="11"/>
  <c r="H152" i="11"/>
  <c r="AC155" i="13"/>
  <c r="H138" i="13"/>
  <c r="H151" i="13"/>
  <c r="J247" i="10"/>
  <c r="N247" i="10" s="1"/>
  <c r="H157" i="10"/>
  <c r="Z161" i="10"/>
  <c r="E212" i="10"/>
  <c r="E258" i="10" s="1"/>
  <c r="E65" i="14" s="1"/>
  <c r="Z172" i="11"/>
  <c r="U170" i="13"/>
  <c r="X170" i="13" s="1"/>
  <c r="E156" i="13" s="1"/>
  <c r="W170" i="13"/>
  <c r="AC168" i="11"/>
  <c r="AC175" i="11" s="1"/>
  <c r="E138" i="11"/>
  <c r="E152" i="11"/>
  <c r="J130" i="11"/>
  <c r="U165" i="13"/>
  <c r="X165" i="13" s="1"/>
  <c r="E152" i="13" s="1"/>
  <c r="W165" i="13"/>
  <c r="E138" i="13"/>
  <c r="E151" i="13"/>
  <c r="AC168" i="13"/>
  <c r="AC175" i="13" s="1"/>
  <c r="E211" i="10"/>
  <c r="E257" i="10" s="1"/>
  <c r="Z163" i="10"/>
  <c r="E157" i="10"/>
  <c r="W165" i="11"/>
  <c r="U165" i="11"/>
  <c r="X165" i="11" s="1"/>
  <c r="E153" i="11" s="1"/>
  <c r="W171" i="13"/>
  <c r="U171" i="13"/>
  <c r="X171" i="13" s="1"/>
  <c r="E157" i="13" s="1"/>
  <c r="E218" i="10"/>
  <c r="W171" i="11"/>
  <c r="U171" i="11"/>
  <c r="X171" i="11" s="1"/>
  <c r="E158" i="11" s="1"/>
  <c r="Z172" i="13"/>
  <c r="E223" i="13"/>
  <c r="E271" i="13" s="1"/>
  <c r="U166" i="13"/>
  <c r="X166" i="13" s="1"/>
  <c r="E153" i="13" s="1"/>
  <c r="W170" i="11"/>
  <c r="U170" i="11"/>
  <c r="X170" i="11" s="1"/>
  <c r="E157" i="11" s="1"/>
  <c r="J255" i="11" l="1"/>
  <c r="Z153" i="11"/>
  <c r="H264" i="10"/>
  <c r="H71" i="14" s="1"/>
  <c r="H121" i="14"/>
  <c r="H251" i="13"/>
  <c r="H254" i="13" s="1"/>
  <c r="H255" i="13" s="1"/>
  <c r="H253" i="11"/>
  <c r="H256" i="11" s="1"/>
  <c r="J253" i="13"/>
  <c r="C45" i="31"/>
  <c r="D45" i="31" s="1"/>
  <c r="E45" i="31" s="1"/>
  <c r="F45" i="31" s="1"/>
  <c r="C45" i="33"/>
  <c r="D45" i="33" s="1"/>
  <c r="E45" i="33" s="1"/>
  <c r="F45" i="33" s="1"/>
  <c r="H39" i="14"/>
  <c r="E38" i="14"/>
  <c r="F38" i="14"/>
  <c r="E267" i="11"/>
  <c r="E13" i="14" s="1"/>
  <c r="E121" i="14"/>
  <c r="E122" i="14" s="1"/>
  <c r="E245" i="10"/>
  <c r="E248" i="10" s="1"/>
  <c r="E249" i="10" s="1"/>
  <c r="E253" i="11"/>
  <c r="E256" i="11" s="1"/>
  <c r="E257" i="11" s="1"/>
  <c r="E251" i="13"/>
  <c r="E254" i="13" s="1"/>
  <c r="E255" i="13" s="1"/>
  <c r="E264" i="10"/>
  <c r="E71" i="14" s="1"/>
  <c r="Z167" i="10"/>
  <c r="Z169" i="10" s="1"/>
  <c r="E219" i="10"/>
  <c r="W153" i="13"/>
  <c r="H152" i="13" s="1"/>
  <c r="H218" i="13" s="1"/>
  <c r="H266" i="13" s="1"/>
  <c r="Z162" i="10"/>
  <c r="Z164" i="10" s="1"/>
  <c r="W158" i="13"/>
  <c r="H157" i="13" s="1"/>
  <c r="H225" i="13" s="1"/>
  <c r="C45" i="28"/>
  <c r="C122" i="13"/>
  <c r="I138" i="13"/>
  <c r="J138" i="10"/>
  <c r="G64" i="14"/>
  <c r="G75" i="14" s="1"/>
  <c r="G77" i="14" s="1"/>
  <c r="F221" i="10"/>
  <c r="C122" i="11"/>
  <c r="C140" i="10"/>
  <c r="C158" i="10" s="1"/>
  <c r="I217" i="13"/>
  <c r="I265" i="13" s="1"/>
  <c r="I219" i="11"/>
  <c r="I265" i="11" s="1"/>
  <c r="I11" i="14" s="1"/>
  <c r="I64" i="14"/>
  <c r="I75" i="14" s="1"/>
  <c r="F219" i="11"/>
  <c r="F222" i="11" s="1"/>
  <c r="F151" i="13"/>
  <c r="F159" i="13" s="1"/>
  <c r="F138" i="13"/>
  <c r="J130" i="13"/>
  <c r="F211" i="10"/>
  <c r="F214" i="10" s="1"/>
  <c r="Z157" i="13"/>
  <c r="W158" i="11"/>
  <c r="H158" i="11" s="1"/>
  <c r="Z158" i="11" s="1"/>
  <c r="H221" i="10"/>
  <c r="G44" i="14"/>
  <c r="G43" i="14"/>
  <c r="H265" i="10"/>
  <c r="H72" i="14" s="1"/>
  <c r="Z155" i="10"/>
  <c r="Z156" i="10" s="1"/>
  <c r="G202" i="11"/>
  <c r="G229" i="11" s="1"/>
  <c r="I200" i="13"/>
  <c r="I227" i="13" s="1"/>
  <c r="Z154" i="11"/>
  <c r="Z155" i="11" s="1"/>
  <c r="H221" i="11"/>
  <c r="H267" i="11" s="1"/>
  <c r="H13" i="14" s="1"/>
  <c r="G278" i="13"/>
  <c r="G282" i="13" s="1"/>
  <c r="H200" i="13"/>
  <c r="E200" i="13"/>
  <c r="G200" i="13"/>
  <c r="G227" i="13" s="1"/>
  <c r="F200" i="13"/>
  <c r="G277" i="11"/>
  <c r="G278" i="11" s="1"/>
  <c r="G282" i="11" s="1"/>
  <c r="Z166" i="11"/>
  <c r="I202" i="11"/>
  <c r="I229" i="11" s="1"/>
  <c r="E202" i="11"/>
  <c r="H202" i="11"/>
  <c r="F202" i="11"/>
  <c r="F229" i="11" s="1"/>
  <c r="Z157" i="11"/>
  <c r="H226" i="11"/>
  <c r="H272" i="11" s="1"/>
  <c r="H18" i="14" s="1"/>
  <c r="F70" i="14"/>
  <c r="F76" i="14" s="1"/>
  <c r="F277" i="13"/>
  <c r="H219" i="13"/>
  <c r="H267" i="13" s="1"/>
  <c r="F277" i="11"/>
  <c r="G274" i="10"/>
  <c r="H257" i="11"/>
  <c r="H266" i="11"/>
  <c r="H12" i="14" s="1"/>
  <c r="M247" i="10"/>
  <c r="H248" i="10"/>
  <c r="H122" i="14"/>
  <c r="H160" i="11"/>
  <c r="H268" i="10"/>
  <c r="H65" i="14"/>
  <c r="H75" i="14" s="1"/>
  <c r="H159" i="13"/>
  <c r="E226" i="11"/>
  <c r="E272" i="11" s="1"/>
  <c r="E18" i="14" s="1"/>
  <c r="Z170" i="11"/>
  <c r="E227" i="11"/>
  <c r="Z171" i="11"/>
  <c r="E218" i="13"/>
  <c r="E266" i="13" s="1"/>
  <c r="Z165" i="13"/>
  <c r="Z170" i="13"/>
  <c r="E224" i="13"/>
  <c r="E272" i="13" s="1"/>
  <c r="E219" i="13"/>
  <c r="E267" i="13" s="1"/>
  <c r="Z166" i="13"/>
  <c r="E221" i="10"/>
  <c r="C140" i="11"/>
  <c r="C161" i="11" s="1"/>
  <c r="J138" i="11"/>
  <c r="E268" i="10"/>
  <c r="E64" i="14"/>
  <c r="E75" i="14" s="1"/>
  <c r="E217" i="13"/>
  <c r="E265" i="13" s="1"/>
  <c r="E159" i="13"/>
  <c r="Z167" i="13"/>
  <c r="E225" i="13"/>
  <c r="Z171" i="13"/>
  <c r="Z167" i="11"/>
  <c r="E160" i="11"/>
  <c r="E219" i="11"/>
  <c r="E265" i="11" s="1"/>
  <c r="E11" i="14" s="1"/>
  <c r="E220" i="11"/>
  <c r="E266" i="11" s="1"/>
  <c r="E12" i="14" s="1"/>
  <c r="Z165" i="11"/>
  <c r="H273" i="13" l="1"/>
  <c r="H40" i="14" s="1"/>
  <c r="E265" i="10"/>
  <c r="E72" i="14" s="1"/>
  <c r="H34" i="14"/>
  <c r="E34" i="14"/>
  <c r="E33" i="14"/>
  <c r="E32" i="14"/>
  <c r="I22" i="14"/>
  <c r="I32" i="14"/>
  <c r="I43" i="14" s="1"/>
  <c r="H33" i="14"/>
  <c r="E39" i="14"/>
  <c r="E273" i="11"/>
  <c r="E76" i="14"/>
  <c r="E77" i="14" s="1"/>
  <c r="E273" i="13"/>
  <c r="Z153" i="13"/>
  <c r="Z155" i="13" s="1"/>
  <c r="J138" i="13"/>
  <c r="Z158" i="13"/>
  <c r="Z159" i="13" s="1"/>
  <c r="C140" i="13"/>
  <c r="C160" i="13" s="1"/>
  <c r="I276" i="13"/>
  <c r="F227" i="13"/>
  <c r="I276" i="11"/>
  <c r="F215" i="10"/>
  <c r="F261" i="10" s="1"/>
  <c r="F68" i="14" s="1"/>
  <c r="F260" i="10"/>
  <c r="F223" i="11"/>
  <c r="F269" i="11" s="1"/>
  <c r="F15" i="14" s="1"/>
  <c r="F268" i="11"/>
  <c r="F14" i="14" s="1"/>
  <c r="F217" i="13"/>
  <c r="F220" i="13" s="1"/>
  <c r="Z159" i="11"/>
  <c r="D45" i="28"/>
  <c r="E45" i="28" s="1"/>
  <c r="H227" i="11"/>
  <c r="H273" i="11" s="1"/>
  <c r="H19" i="14" s="1"/>
  <c r="C287" i="10"/>
  <c r="H269" i="10"/>
  <c r="H270" i="10" s="1"/>
  <c r="H273" i="10" s="1"/>
  <c r="G45" i="14"/>
  <c r="G85" i="14"/>
  <c r="G96" i="14" s="1"/>
  <c r="F44" i="14"/>
  <c r="F23" i="14"/>
  <c r="G23" i="14"/>
  <c r="G24" i="14" s="1"/>
  <c r="H76" i="14"/>
  <c r="H77" i="14" s="1"/>
  <c r="G281" i="13"/>
  <c r="G281" i="11"/>
  <c r="E269" i="10"/>
  <c r="E270" i="10" s="1"/>
  <c r="H227" i="13"/>
  <c r="Z168" i="11"/>
  <c r="H276" i="11"/>
  <c r="H276" i="13"/>
  <c r="H249" i="10"/>
  <c r="Z168" i="13"/>
  <c r="Z173" i="11"/>
  <c r="E91" i="14"/>
  <c r="E229" i="11"/>
  <c r="Z173" i="13"/>
  <c r="E227" i="13"/>
  <c r="E276" i="11"/>
  <c r="E276" i="13"/>
  <c r="E277" i="11" l="1"/>
  <c r="E19" i="14"/>
  <c r="H277" i="13"/>
  <c r="E40" i="14"/>
  <c r="H229" i="11"/>
  <c r="E277" i="13"/>
  <c r="E278" i="13" s="1"/>
  <c r="F276" i="11"/>
  <c r="F278" i="11" s="1"/>
  <c r="F281" i="11" s="1"/>
  <c r="F67" i="14"/>
  <c r="F75" i="14" s="1"/>
  <c r="F268" i="10"/>
  <c r="F221" i="13"/>
  <c r="F269" i="13" s="1"/>
  <c r="F268" i="13"/>
  <c r="E87" i="14"/>
  <c r="H277" i="11"/>
  <c r="H278" i="11" s="1"/>
  <c r="H281" i="11" s="1"/>
  <c r="N288" i="10"/>
  <c r="D288" i="10"/>
  <c r="I85" i="14"/>
  <c r="F91" i="14"/>
  <c r="G91" i="14"/>
  <c r="H86" i="14"/>
  <c r="H44" i="14"/>
  <c r="H87" i="14"/>
  <c r="H135" i="14" s="1"/>
  <c r="F45" i="28"/>
  <c r="H23" i="14"/>
  <c r="H92" i="14"/>
  <c r="E92" i="14"/>
  <c r="E44" i="14"/>
  <c r="E86" i="14"/>
  <c r="E43" i="14"/>
  <c r="E139" i="14"/>
  <c r="H22" i="14"/>
  <c r="H274" i="10"/>
  <c r="H278" i="13"/>
  <c r="H282" i="13" s="1"/>
  <c r="E274" i="10"/>
  <c r="E85" i="14"/>
  <c r="E273" i="10"/>
  <c r="E278" i="11"/>
  <c r="E93" i="14" l="1"/>
  <c r="E23" i="14"/>
  <c r="F35" i="14"/>
  <c r="F36" i="14"/>
  <c r="F282" i="11"/>
  <c r="J276" i="11"/>
  <c r="C306" i="11" s="1"/>
  <c r="F276" i="13"/>
  <c r="F270" i="10"/>
  <c r="J268" i="10"/>
  <c r="F77" i="14"/>
  <c r="J75" i="14"/>
  <c r="E22" i="14"/>
  <c r="H93" i="14"/>
  <c r="I96" i="14"/>
  <c r="F97" i="14"/>
  <c r="I133" i="14"/>
  <c r="G97" i="14"/>
  <c r="G98" i="14" s="1"/>
  <c r="H43" i="14"/>
  <c r="H45" i="14" s="1"/>
  <c r="H140" i="14"/>
  <c r="H24" i="14"/>
  <c r="E45" i="14"/>
  <c r="E97" i="14"/>
  <c r="E133" i="14"/>
  <c r="H282" i="11"/>
  <c r="H281" i="13"/>
  <c r="H134" i="14"/>
  <c r="H96" i="14"/>
  <c r="E282" i="13"/>
  <c r="E96" i="14"/>
  <c r="E282" i="11"/>
  <c r="E281" i="13"/>
  <c r="E281" i="11"/>
  <c r="F43" i="14" l="1"/>
  <c r="F45" i="14" s="1"/>
  <c r="F22" i="14"/>
  <c r="F24" i="14" s="1"/>
  <c r="F89" i="14"/>
  <c r="F88" i="14"/>
  <c r="F273" i="10"/>
  <c r="F274" i="10"/>
  <c r="F278" i="13"/>
  <c r="J276" i="13"/>
  <c r="C306" i="13" s="1"/>
  <c r="N294" i="10"/>
  <c r="T295" i="10" s="1"/>
  <c r="C294" i="10"/>
  <c r="I294" i="10" s="1"/>
  <c r="E24" i="14"/>
  <c r="H141" i="14"/>
  <c r="H97" i="14"/>
  <c r="H98" i="14" s="1"/>
  <c r="J43" i="14"/>
  <c r="E98" i="14"/>
  <c r="J22" i="14" l="1"/>
  <c r="F171" i="14"/>
  <c r="F96" i="14"/>
  <c r="F98" i="14" s="1"/>
  <c r="F281" i="13"/>
  <c r="F282" i="13"/>
  <c r="H143" i="14"/>
  <c r="J96" i="14" l="1"/>
  <c r="F172" i="14"/>
  <c r="I251" i="11"/>
  <c r="I256" i="11" s="1"/>
  <c r="I249" i="13" l="1"/>
  <c r="I243" i="10"/>
  <c r="I263" i="10" s="1"/>
  <c r="I121" i="14"/>
  <c r="I122" i="14" s="1"/>
  <c r="J122" i="14" s="1"/>
  <c r="I257" i="11"/>
  <c r="J257" i="11" s="1"/>
  <c r="J256" i="11"/>
  <c r="I271" i="11"/>
  <c r="I17" i="14" s="1"/>
  <c r="I248" i="10" l="1"/>
  <c r="I249" i="10" s="1"/>
  <c r="J249" i="10" s="1"/>
  <c r="J121" i="14"/>
  <c r="I254" i="13"/>
  <c r="I271" i="13"/>
  <c r="I269" i="10"/>
  <c r="I70" i="14"/>
  <c r="I76" i="14" s="1"/>
  <c r="I277" i="11"/>
  <c r="I23" i="14" l="1"/>
  <c r="I24" i="14" s="1"/>
  <c r="J24" i="14" s="1"/>
  <c r="I38" i="14"/>
  <c r="J248" i="10"/>
  <c r="M248" i="10" s="1"/>
  <c r="M249" i="10" s="1"/>
  <c r="J254" i="13"/>
  <c r="I255" i="13"/>
  <c r="J255" i="13" s="1"/>
  <c r="I277" i="13"/>
  <c r="J277" i="11"/>
  <c r="I278" i="11"/>
  <c r="I282" i="11" s="1"/>
  <c r="J76" i="14"/>
  <c r="I77" i="14"/>
  <c r="J77" i="14" s="1"/>
  <c r="J269" i="10"/>
  <c r="I270" i="10"/>
  <c r="I44" i="14" l="1"/>
  <c r="J44" i="14" s="1"/>
  <c r="G133" i="14"/>
  <c r="G139" i="14"/>
  <c r="G143" i="14"/>
  <c r="E134" i="14"/>
  <c r="E135" i="14"/>
  <c r="E140" i="14"/>
  <c r="E141" i="14"/>
  <c r="E143" i="14"/>
  <c r="F137" i="14"/>
  <c r="F139" i="14"/>
  <c r="F136" i="14"/>
  <c r="F143" i="14"/>
  <c r="N248" i="10"/>
  <c r="J23" i="14"/>
  <c r="J277" i="13"/>
  <c r="I278" i="13"/>
  <c r="C307" i="11"/>
  <c r="I273" i="10"/>
  <c r="J270" i="10"/>
  <c r="J273" i="10" s="1"/>
  <c r="N295" i="10"/>
  <c r="T296" i="10" s="1"/>
  <c r="C295" i="10"/>
  <c r="I295" i="10" s="1"/>
  <c r="I274" i="10"/>
  <c r="J278" i="11"/>
  <c r="I281" i="11"/>
  <c r="C46" i="31" l="1"/>
  <c r="C46" i="33"/>
  <c r="D46" i="33" s="1"/>
  <c r="E46" i="33" s="1"/>
  <c r="F46" i="33" s="1"/>
  <c r="C18" i="33" s="1"/>
  <c r="C19" i="33" s="1"/>
  <c r="C20" i="33" s="1"/>
  <c r="C34" i="33" s="1"/>
  <c r="D46" i="31"/>
  <c r="E46" i="31" s="1"/>
  <c r="F46" i="31" s="1"/>
  <c r="C18" i="31" s="1"/>
  <c r="C46" i="28"/>
  <c r="I45" i="14"/>
  <c r="J45" i="14" s="1"/>
  <c r="I91" i="14"/>
  <c r="I139" i="14" s="1"/>
  <c r="J282" i="11"/>
  <c r="N249" i="10"/>
  <c r="I299" i="10"/>
  <c r="I298" i="10"/>
  <c r="C307" i="13"/>
  <c r="I282" i="13"/>
  <c r="J278" i="13"/>
  <c r="I281" i="13"/>
  <c r="J281" i="11"/>
  <c r="C291" i="11"/>
  <c r="J181" i="11" s="1"/>
  <c r="J274" i="10"/>
  <c r="C19" i="31" l="1"/>
  <c r="C20" i="31" s="1"/>
  <c r="C34" i="31" s="1"/>
  <c r="D46" i="28"/>
  <c r="E46" i="28" s="1"/>
  <c r="I97" i="14"/>
  <c r="J97" i="14" s="1"/>
  <c r="C291" i="13"/>
  <c r="J179" i="13" s="1"/>
  <c r="J281" i="13"/>
  <c r="J282" i="13"/>
  <c r="I98" i="14" l="1"/>
  <c r="J98" i="14" s="1"/>
  <c r="C153" i="14" s="1"/>
  <c r="I143" i="14" l="1"/>
  <c r="D154" i="14"/>
  <c r="D155" i="14"/>
  <c r="F46" i="28" l="1"/>
  <c r="C18" i="28" s="1"/>
  <c r="D18" i="28" s="1"/>
  <c r="D19" i="28" s="1"/>
  <c r="D20" i="28" s="1"/>
  <c r="D34" i="28" s="1"/>
  <c r="F166" i="14"/>
  <c r="G174" i="14"/>
  <c r="G166" i="14"/>
  <c r="I178" i="14"/>
  <c r="E178" i="14"/>
  <c r="F178" i="14"/>
  <c r="E168" i="14"/>
  <c r="I166" i="14"/>
  <c r="H175" i="14"/>
  <c r="F174" i="14"/>
  <c r="E167" i="14"/>
  <c r="H176" i="14"/>
  <c r="H168" i="14"/>
  <c r="E176" i="14"/>
  <c r="G178" i="14"/>
  <c r="I174" i="14"/>
  <c r="H178" i="14"/>
  <c r="E166" i="14"/>
  <c r="E174" i="14"/>
  <c r="H167" i="14"/>
  <c r="E175" i="14"/>
  <c r="C19" i="28" l="1"/>
  <c r="C20" i="28" l="1"/>
  <c r="C34" i="28" s="1"/>
  <c r="E299" i="13" l="1"/>
  <c r="E300" i="13"/>
  <c r="G307" i="13" l="1"/>
  <c r="G300" i="13"/>
  <c r="F307" i="13"/>
  <c r="F306" i="13"/>
  <c r="G299" i="13"/>
  <c r="G306" i="13"/>
  <c r="C33" i="28" l="1"/>
  <c r="G301" i="13"/>
  <c r="C50" i="31"/>
  <c r="C35" i="31"/>
  <c r="E298" i="11" s="1"/>
  <c r="E300" i="11" s="1"/>
  <c r="G300" i="11" s="1"/>
  <c r="C49" i="31"/>
  <c r="G307" i="11" l="1"/>
  <c r="E299" i="11"/>
  <c r="F307" i="11"/>
  <c r="C50" i="33"/>
  <c r="C35" i="33"/>
  <c r="C49" i="33"/>
  <c r="G306" i="11"/>
  <c r="C51" i="31"/>
  <c r="D50" i="31"/>
  <c r="D35" i="31"/>
  <c r="D49" i="31"/>
  <c r="F306" i="11" l="1"/>
  <c r="G299" i="11"/>
  <c r="G301" i="11" s="1"/>
  <c r="C51" i="33"/>
  <c r="D33" i="28"/>
  <c r="E49" i="31"/>
  <c r="F49" i="31" s="1"/>
  <c r="E35" i="31"/>
  <c r="E50" i="31"/>
  <c r="D51" i="31"/>
  <c r="F50" i="31" l="1"/>
  <c r="F51" i="31" s="1"/>
  <c r="F53" i="31" s="1"/>
  <c r="E51" i="31"/>
  <c r="C50" i="28"/>
  <c r="C49" i="28"/>
  <c r="C35" i="28"/>
  <c r="D35" i="28" l="1"/>
  <c r="E33" i="28" s="1"/>
  <c r="D33" i="33" s="1"/>
  <c r="D49" i="28"/>
  <c r="D50" i="28"/>
  <c r="C51" i="28"/>
  <c r="D35" i="33" l="1"/>
  <c r="E33" i="33" s="1"/>
  <c r="D49" i="33"/>
  <c r="D50" i="33"/>
  <c r="D51" i="28"/>
  <c r="E49" i="28"/>
  <c r="F49" i="28" s="1"/>
  <c r="E50" i="28"/>
  <c r="E35" i="28"/>
  <c r="D51" i="33" l="1"/>
  <c r="E35" i="33"/>
  <c r="E49" i="33"/>
  <c r="F49" i="33" s="1"/>
  <c r="E50" i="33"/>
  <c r="E51" i="33" s="1"/>
  <c r="E51" i="28"/>
  <c r="F50" i="28"/>
  <c r="F51" i="28" s="1"/>
  <c r="F53" i="28" s="1"/>
  <c r="F50" i="33" l="1"/>
  <c r="F51" i="33" s="1"/>
  <c r="F53" i="3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R65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equals  billing month first block adjusted by billing month versus calendar month summer total</t>
        </r>
      </text>
    </comment>
    <comment ref="R66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equals  billing month first block adjusted by billing month versus calendar month summer total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R6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equals  billing month first block adjusted by billing month versus calendar month summer total</t>
        </r>
      </text>
    </comment>
    <comment ref="R6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equals  billing month first block adjusted by billing month versus calendar month summer total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R65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equals  billing month first block adjusted by billing month versus calendar month summer total</t>
        </r>
      </text>
    </comment>
    <comment ref="R66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equals  billing month first block adjusted by billing month versus calendar month summer total</t>
        </r>
      </text>
    </comment>
  </commentList>
</comments>
</file>

<file path=xl/sharedStrings.xml><?xml version="1.0" encoding="utf-8"?>
<sst xmlns="http://schemas.openxmlformats.org/spreadsheetml/2006/main" count="1793" uniqueCount="416">
  <si>
    <t>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</si>
  <si>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</si>
  <si>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</si>
  <si>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</si>
  <si>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</si>
  <si>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</si>
  <si>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</si>
  <si>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</si>
  <si>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</si>
  <si>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</si>
  <si>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</si>
  <si>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</si>
  <si>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</si>
  <si>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</si>
  <si>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On-Peak</t>
  </si>
  <si>
    <t>Off-Peak</t>
  </si>
  <si>
    <t>Annual</t>
  </si>
  <si>
    <t>Summer - all hrs</t>
  </si>
  <si>
    <t>Winter - all hrs</t>
  </si>
  <si>
    <t>Forwards Prices - Energy Only @ bulk system</t>
  </si>
  <si>
    <t>Expansion Factor =</t>
  </si>
  <si>
    <t>in $/MWh</t>
  </si>
  <si>
    <t>Losses</t>
  </si>
  <si>
    <t>Loss Factors =</t>
  </si>
  <si>
    <t>Profile Meter Data</t>
  </si>
  <si>
    <t>Summer</t>
  </si>
  <si>
    <t>Winter</t>
  </si>
  <si>
    <t>On-Peak periods defined as the 16 hr PJM Trading period, adj for NERC holidays</t>
  </si>
  <si>
    <t>winter MWh =</t>
  </si>
  <si>
    <t>summer MWh =</t>
  </si>
  <si>
    <t>Table #1</t>
  </si>
  <si>
    <t>Table #2</t>
  </si>
  <si>
    <t>Table #5</t>
  </si>
  <si>
    <t>Table #6</t>
  </si>
  <si>
    <t>Table #7</t>
  </si>
  <si>
    <t>Table #8</t>
  </si>
  <si>
    <t>Table #3</t>
  </si>
  <si>
    <t>Table #4</t>
  </si>
  <si>
    <t>in MWh</t>
  </si>
  <si>
    <t>N/A</t>
  </si>
  <si>
    <t>----</t>
  </si>
  <si>
    <t>PJM on pk</t>
  </si>
  <si>
    <t>PJM off pk</t>
  </si>
  <si>
    <t>in $1000</t>
  </si>
  <si>
    <t>System Total</t>
  </si>
  <si>
    <t>Adjusted to Billing Time Periods</t>
  </si>
  <si>
    <t>On-Peak periods as defined in specified rate schedule</t>
  </si>
  <si>
    <t>% Usage During PJM On-Peak Period</t>
  </si>
  <si>
    <t>Class Usage @ customer</t>
  </si>
  <si>
    <t>Summary of Average BGS Energy Only Costs @ customer - PJM Time Periods</t>
  </si>
  <si>
    <t>Development of Post Transition Period BGS Cost and Bid Factors</t>
  </si>
  <si>
    <t>Summary of Average BGS Energy Only Unit Costs @ customer - PJM Time Periods</t>
  </si>
  <si>
    <t>RT</t>
  </si>
  <si>
    <t>GS</t>
  </si>
  <si>
    <t>GST</t>
  </si>
  <si>
    <t>OL/SL</t>
  </si>
  <si>
    <t>Other Analysis</t>
  </si>
  <si>
    <t>% Usage During JCP&amp;L On-Peak Billing Period</t>
  </si>
  <si>
    <t>Delta between PJM and Tariff based On-Peak kWh</t>
  </si>
  <si>
    <t>WH</t>
  </si>
  <si>
    <t>RGT</t>
  </si>
  <si>
    <t>RT{1}</t>
  </si>
  <si>
    <t>RS{2}</t>
  </si>
  <si>
    <t>WH RS</t>
  </si>
  <si>
    <t>WH GS</t>
  </si>
  <si>
    <t>GS{3}</t>
  </si>
  <si>
    <t xml:space="preserve">{2} For BGS purposes the RS rate class excludes the Off-Peak and Controlled Water Heating provisions and includes  </t>
  </si>
  <si>
    <t xml:space="preserve">     the winter billing month RGT rate class usage</t>
  </si>
  <si>
    <t>{3} For BGS purposes the GS rate class excludes the Off-Peak and Controlled Water Heating provisions</t>
  </si>
  <si>
    <t xml:space="preserve">Jersey Central Power &amp; Light </t>
  </si>
  <si>
    <t>Table #9</t>
  </si>
  <si>
    <t>Summary of Average BGS Energy Only Unit Costs @ customer - JCP&amp;L Time Periods</t>
  </si>
  <si>
    <t>JCP&amp;L On pk</t>
  </si>
  <si>
    <t>JCP&amp;L Off pk</t>
  </si>
  <si>
    <t>Annual Average</t>
  </si>
  <si>
    <t>System Average</t>
  </si>
  <si>
    <t>Table #10</t>
  </si>
  <si>
    <t>in MW</t>
  </si>
  <si>
    <t>Gen Obl - MW</t>
  </si>
  <si>
    <t>Trans Obl - MW</t>
  </si>
  <si>
    <t xml:space="preserve">Not applicable for JCP&amp;L - Transmission rates are based on Retail Tariff rates for the respective rate classes </t>
  </si>
  <si>
    <t># of Months and Days used in this analysis</t>
  </si>
  <si>
    <t># of summer days =</t>
  </si>
  <si>
    <t># of summer months =</t>
  </si>
  <si>
    <t># of winter days =</t>
  </si>
  <si>
    <t># of winter months =</t>
  </si>
  <si>
    <t>total # months =</t>
  </si>
  <si>
    <t>Generation Capacity cost</t>
  </si>
  <si>
    <t>$/MW/day</t>
  </si>
  <si>
    <t>Table #11</t>
  </si>
  <si>
    <t>Ancillary Services</t>
  </si>
  <si>
    <t>forecasted overall annual average</t>
  </si>
  <si>
    <t>$/MWh</t>
  </si>
  <si>
    <t>Table #12</t>
  </si>
  <si>
    <t>Transmission Obl - all months</t>
  </si>
  <si>
    <t>Table #13</t>
  </si>
  <si>
    <t>Summary of BGS Unit Costs @ customer</t>
  </si>
  <si>
    <t>NON-DEMAND RATES</t>
  </si>
  <si>
    <t>Annual -all hrs</t>
  </si>
  <si>
    <t>DEMAND RATES</t>
  </si>
  <si>
    <t>includes energy and Ancillary Services, G&amp;T obligations charged separately - adjusted to billing time periods</t>
  </si>
  <si>
    <t>JCP&amp;L does not have a demand component in its BGS charges</t>
  </si>
  <si>
    <t>ALL RATES</t>
  </si>
  <si>
    <t>Grand Total Cost in $1000 =</t>
  </si>
  <si>
    <t>All-In Average costs @ bulk system =</t>
  </si>
  <si>
    <t>per MWh at bulk system (per bulk system metered MWh)</t>
  </si>
  <si>
    <t>Table #14</t>
  </si>
  <si>
    <t>Annual - all hrs</t>
  </si>
  <si>
    <t>Assumptions:</t>
  </si>
  <si>
    <t>Analysis time period =</t>
  </si>
  <si>
    <t>summer months</t>
  </si>
  <si>
    <t>winter months</t>
  </si>
  <si>
    <t>Ancillary Services =</t>
  </si>
  <si>
    <t>per MWh</t>
  </si>
  <si>
    <t>Energy Costs =</t>
  </si>
  <si>
    <t>Usage patterns =</t>
  </si>
  <si>
    <t>Obligations =</t>
  </si>
  <si>
    <t>Losses =</t>
  </si>
  <si>
    <t>PJM Time Periods =</t>
  </si>
  <si>
    <t xml:space="preserve">     holidays - New Year's, Memorial, 4th of July, Labor Day, Thanksgiving &amp; Christmas</t>
  </si>
  <si>
    <t>JCP&amp;L Billing time periods =</t>
  </si>
  <si>
    <t>GST On-peak hours are 8 am to 8 pm prevailing time, Monday through Friday.</t>
  </si>
  <si>
    <t>MWhs in PJM time periods</t>
  </si>
  <si>
    <t>Difference in MWhs</t>
  </si>
  <si>
    <t>Check on total $ recovered</t>
  </si>
  <si>
    <t>PJM time periods (Table #8)</t>
  </si>
  <si>
    <t>MWhs in JCP&amp;L time periods</t>
  </si>
  <si>
    <t>(PJM - JCP&amp;L)</t>
  </si>
  <si>
    <t>JCP&amp;L time periods</t>
  </si>
  <si>
    <t>Tariff Based kWh</t>
  </si>
  <si>
    <t>PJM based kWh</t>
  </si>
  <si>
    <t>Generation Obl $/MWh - all months</t>
  </si>
  <si>
    <t>Generation Capacity Cost =</t>
  </si>
  <si>
    <t>Table #15</t>
  </si>
  <si>
    <t>Total Costs by Rate - in $1000</t>
  </si>
  <si>
    <t>Total Costs - in $1000</t>
  </si>
  <si>
    <t>% of Annual Total $</t>
  </si>
  <si>
    <t>per MWh @ bulk system</t>
  </si>
  <si>
    <t>Table #16</t>
  </si>
  <si>
    <t>Generation &amp; Transmission Obligations and Costs and Other Adjustments</t>
  </si>
  <si>
    <t>Charges</t>
  </si>
  <si>
    <t>% usage</t>
  </si>
  <si>
    <t>Block 1 (0-600 kWh/m)</t>
  </si>
  <si>
    <t>¢/kWh</t>
  </si>
  <si>
    <t>Block 2 (&gt;600 kWh/m)</t>
  </si>
  <si>
    <t>off-peak=&gt;</t>
  </si>
  <si>
    <t>on-peak=&gt;</t>
  </si>
  <si>
    <t>On-peak kWh=&gt;</t>
  </si>
  <si>
    <t>Winter MWh =&gt;</t>
  </si>
  <si>
    <t>Summer MWh =&gt;</t>
  </si>
  <si>
    <t>Associated $=&gt;</t>
  </si>
  <si>
    <t>First Block (0-600 kWh/month)=&gt;</t>
  </si>
  <si>
    <t>Second Block (&gt;600 kWh/month)=&gt;</t>
  </si>
  <si>
    <t>Residential summer BGS + Transmission charge differential</t>
  </si>
  <si>
    <t>per BPU and summer blocking percentages</t>
  </si>
  <si>
    <t>Differential (Excl. SUT)</t>
  </si>
  <si>
    <t>Constant for Block 1 (0-600 kWh/m) usage (Excl. SUT)</t>
  </si>
  <si>
    <t>Constant for Block 2 (&gt;600 kWh/m) usage (Excl. SUT)</t>
  </si>
  <si>
    <t>Transmission charges will be based on Retail Tariff rates for the applicable rate schedules</t>
  </si>
  <si>
    <t>Transmission cost =</t>
  </si>
  <si>
    <t>per MW day Summer</t>
  </si>
  <si>
    <t>per MW day Winter</t>
  </si>
  <si>
    <t>Summer Total</t>
  </si>
  <si>
    <t>Winter Total</t>
  </si>
  <si>
    <t>Annual Total</t>
  </si>
  <si>
    <t>TOTAL</t>
  </si>
  <si>
    <t xml:space="preserve"> Consistent with Losses as approved by the BPU</t>
  </si>
  <si>
    <t>Summary of Obligation Costs Expressed as $/MWh @ customer</t>
  </si>
  <si>
    <t>Summary of Total Estimated BGS Costs by Season</t>
  </si>
  <si>
    <t>Off/On Pk</t>
  </si>
  <si>
    <t>LMP ratio</t>
  </si>
  <si>
    <t>based on Forwards prices corrected for zone-hub differential and losses - PJM time periods</t>
  </si>
  <si>
    <t>based on Forwards prices corrected for zone-hub differential and losses</t>
  </si>
  <si>
    <t>based on Forwards prices corrected for zone-hub differential and losses - JCP&amp;L billing time periods</t>
  </si>
  <si>
    <t>Based on 3 Year Average</t>
  </si>
  <si>
    <t>Zone-Hub Basis Differential</t>
  </si>
  <si>
    <t>Ratio to All-In Cost (rounded to 4 decimal places)</t>
  </si>
  <si>
    <t>&lt;=on-peak=&gt;</t>
  </si>
  <si>
    <t>&lt;=off-peak=&gt;</t>
  </si>
  <si>
    <t xml:space="preserve">RT Less </t>
  </si>
  <si>
    <t>Water Heating</t>
  </si>
  <si>
    <t>OPWH</t>
  </si>
  <si>
    <t>CTWH RS</t>
  </si>
  <si>
    <t>CTWH RSH</t>
  </si>
  <si>
    <t>CTWH GS</t>
  </si>
  <si>
    <t>CTWH Total</t>
  </si>
  <si>
    <t>WH On</t>
  </si>
  <si>
    <t>Attachment 2</t>
  </si>
  <si>
    <t>The Holidays identified by PJM are not excluded from the RT or GST Billing On-Peak kWh.</t>
  </si>
  <si>
    <t>RT On-peak hours are 8 am to 8 pm Eastern Standard Time, Monday through Friday.</t>
  </si>
  <si>
    <t>(data rounded to nearest .01 %)</t>
  </si>
  <si>
    <t>Average</t>
  </si>
  <si>
    <t>For Calculation</t>
  </si>
  <si>
    <t>On-Peak=&gt;</t>
  </si>
  <si>
    <t>Off-Peak=&gt;</t>
  </si>
  <si>
    <t>Average=&gt;</t>
  </si>
  <si>
    <t>For Proof</t>
  </si>
  <si>
    <t>Proof</t>
  </si>
  <si>
    <t>Generation Obl $/MWh - Summer - All Hours</t>
  </si>
  <si>
    <t>Generation Obl $/MWh - Summer - On-Peak Hours</t>
  </si>
  <si>
    <t>Generation Obl $/MWh - Winter - On-Peak Hours</t>
  </si>
  <si>
    <t>Generation Obl $/MWh - Winter - All Hours</t>
  </si>
  <si>
    <t>{1} For BGS purposes the RT rate class includes the RS and GS rate class Off-Peak (OPWH) and Controlled Water Heating (CTWH) provisions.  The RT rate class also includes the</t>
  </si>
  <si>
    <t>GST {4}</t>
  </si>
  <si>
    <t>CTWH</t>
  </si>
  <si>
    <t>On-Peak PJM</t>
  </si>
  <si>
    <t>Hours Mon=&gt;Fri</t>
  </si>
  <si>
    <t>On-peak</t>
  </si>
  <si>
    <t>Hours</t>
  </si>
  <si>
    <t>%</t>
  </si>
  <si>
    <t>Average Daily</t>
  </si>
  <si>
    <t>WH Off</t>
  </si>
  <si>
    <t>% usage during Off-Peak period</t>
  </si>
  <si>
    <t xml:space="preserve">  summer billing month RGT rate class usage.  OPWH and CTWH is billed on the average RT rates, while RT and Summer RGT use is billed at on-peak and off-peak rates.</t>
  </si>
  <si>
    <t xml:space="preserve"> PJM trading time periods - 7 AM to 11 PM weekdays, local time, excluding NERC </t>
  </si>
  <si>
    <t>1st</t>
  </si>
  <si>
    <t>2nd</t>
  </si>
  <si>
    <t>total</t>
  </si>
  <si>
    <t>Adjusted</t>
  </si>
  <si>
    <t>Seasonal Payment Factors</t>
  </si>
  <si>
    <t>Seasonal</t>
  </si>
  <si>
    <t>Initial</t>
  </si>
  <si>
    <t>Adjustment</t>
  </si>
  <si>
    <t>Factor</t>
  </si>
  <si>
    <t>Calculation</t>
  </si>
  <si>
    <t>Seasonally Adjusted Summer Payment</t>
  </si>
  <si>
    <t>Price per MWH</t>
  </si>
  <si>
    <t>Seasonally Adjusted Winter Payment</t>
  </si>
  <si>
    <t>Units</t>
  </si>
  <si>
    <t>Seasonal Units</t>
  </si>
  <si>
    <t>Payment</t>
  </si>
  <si>
    <t>Customer Costs Per Allocation Matrix</t>
  </si>
  <si>
    <r>
      <t xml:space="preserve">Supplier Payment </t>
    </r>
    <r>
      <rPr>
        <sz val="10"/>
        <rFont val="Arial"/>
        <family val="2"/>
      </rPr>
      <t>in $1000</t>
    </r>
  </si>
  <si>
    <t>Total Supplier Payment</t>
  </si>
  <si>
    <t>Adjustment Factor Calculation</t>
  </si>
  <si>
    <t>Allocated Customer Costs on a per MWh basis (on bulk system MWhs):</t>
  </si>
  <si>
    <t>Supplier</t>
  </si>
  <si>
    <t>in $1,000's</t>
  </si>
  <si>
    <t>Units @ Customer</t>
  </si>
  <si>
    <t>in kWh</t>
  </si>
  <si>
    <t>Table #17</t>
  </si>
  <si>
    <t>Table #18</t>
  </si>
  <si>
    <t>Table #19</t>
  </si>
  <si>
    <t>Table #16 &amp; Table #17</t>
  </si>
  <si>
    <t>Bulk System Costs</t>
  </si>
  <si>
    <t>Customer &amp; Bulk System Costs</t>
  </si>
  <si>
    <t xml:space="preserve"> Based on Forwards prices @ PJM West corrected for hub-zone basis differential (both based on the figures used to derive the </t>
  </si>
  <si>
    <t>kWh</t>
  </si>
  <si>
    <r>
      <t>Deli</t>
    </r>
    <r>
      <rPr>
        <b/>
        <sz val="10"/>
        <color indexed="20"/>
        <rFont val="Arial"/>
        <family val="2"/>
      </rPr>
      <t>very</t>
    </r>
    <r>
      <rPr>
        <b/>
        <sz val="10"/>
        <color indexed="17"/>
        <rFont val="Arial"/>
        <family val="2"/>
      </rPr>
      <t xml:space="preserve"> kWh</t>
    </r>
  </si>
  <si>
    <t>RSH</t>
  </si>
  <si>
    <t>Total RS</t>
  </si>
  <si>
    <t xml:space="preserve"> </t>
  </si>
  <si>
    <t>Table #C1</t>
  </si>
  <si>
    <t>Table #C2</t>
  </si>
  <si>
    <t>Table #C3</t>
  </si>
  <si>
    <t>Table #C4</t>
  </si>
  <si>
    <t>Table #C5</t>
  </si>
  <si>
    <t>Table #C6</t>
  </si>
  <si>
    <t>Table #C7</t>
  </si>
  <si>
    <t>WH Average =&gt;</t>
  </si>
  <si>
    <t>WH Average=&gt;</t>
  </si>
  <si>
    <t>JC Tariff Based mWh</t>
  </si>
  <si>
    <t>Expansion Factor to Transmission Nodes =</t>
  </si>
  <si>
    <t>Loss Factors from Transmission Nodes =</t>
  </si>
  <si>
    <t>per MWh at transmission nodes (per transmission nodes metered MWh)</t>
  </si>
  <si>
    <t>per MWh @ transmission nodes</t>
  </si>
  <si>
    <t>All-In Average costs @ transmission nodes =</t>
  </si>
  <si>
    <t xml:space="preserve">PJM Marginal Losses = </t>
  </si>
  <si>
    <t>PJM's calculated mean value of hourly marginal loss factor</t>
  </si>
  <si>
    <t>Ratio of BGS Unit Costs @ customer to All-In Average Cost @ transmission nodes (rounded to 3 decimal places)</t>
  </si>
  <si>
    <t xml:space="preserve">Loss = </t>
  </si>
  <si>
    <t>Consistent with Losses as approved by the BPU</t>
  </si>
  <si>
    <t xml:space="preserve">         If total $ were split on a per MWh basis (on transmission nodes MWhs):</t>
  </si>
  <si>
    <t xml:space="preserve">         If total $ were split on a per MWh basis (on bulk nodes MWhs):</t>
  </si>
  <si>
    <t>@ Bulk mwh</t>
  </si>
  <si>
    <t>@ Transmission</t>
  </si>
  <si>
    <t>Loss Factors @ Bulk =</t>
  </si>
  <si>
    <t>Expansion Factors @ Bulk =</t>
  </si>
  <si>
    <t>Loss Factors @ Transmission Node =</t>
  </si>
  <si>
    <t>Expansion Factors @ Transmission Node =</t>
  </si>
  <si>
    <t>RS Excluding</t>
  </si>
  <si>
    <t>RT\RGT\WH</t>
  </si>
  <si>
    <t>Size of Tranches =</t>
  </si>
  <si>
    <t>Total GS (incl WH)</t>
  </si>
  <si>
    <r>
      <t xml:space="preserve">{4} The GS and GST units exclude the units associated with the </t>
    </r>
    <r>
      <rPr>
        <sz val="10"/>
        <color indexed="12"/>
        <rFont val="Arial"/>
        <family val="2"/>
      </rPr>
      <t xml:space="preserve">500 </t>
    </r>
    <r>
      <rPr>
        <sz val="10"/>
        <rFont val="Arial"/>
        <family val="2"/>
      </rPr>
      <t>kW and above PLS accounts that will be required to take service under BGS-CIEP</t>
    </r>
  </si>
  <si>
    <t>WH OnPeak MWH</t>
  </si>
  <si>
    <t>WH OffPeak MWH</t>
  </si>
  <si>
    <t>1 Year Term Remaining</t>
  </si>
  <si>
    <t>2 Year Term Remaining</t>
  </si>
  <si>
    <t>3 Year Term</t>
  </si>
  <si>
    <t>Final Auction Price - in $/MWh</t>
  </si>
  <si>
    <t>Size of Tranches</t>
  </si>
  <si>
    <t>Total # of Tranches</t>
  </si>
  <si>
    <t>Seasonal Factors</t>
  </si>
  <si>
    <t>Applicable Customer Usage
@ transmission node</t>
  </si>
  <si>
    <t>Summer MWh</t>
  </si>
  <si>
    <t>Winter MWh</t>
  </si>
  <si>
    <t>Composite Bid Price</t>
  </si>
  <si>
    <t xml:space="preserve">  </t>
  </si>
  <si>
    <t>BGS-RSCP</t>
  </si>
  <si>
    <t>Calculation of Composite BGS-RSCP Price</t>
  </si>
  <si>
    <t>Total
BGS-RSCP
Cost</t>
  </si>
  <si>
    <t>All-in BGS-RSCP Cost</t>
  </si>
  <si>
    <t>BGS-RSCP Composite Cost Allocation</t>
  </si>
  <si>
    <t/>
  </si>
  <si>
    <t>Ratio to All-In Cost (If Winter is greater than Summer)</t>
  </si>
  <si>
    <t>Total Forecasted Ancillary Services &amp; Renewable Power Costs</t>
  </si>
  <si>
    <t>Forecasted Ancillary Services Cost</t>
  </si>
  <si>
    <t>Ancillary Services and Renewable Power Cost =</t>
  </si>
  <si>
    <t>Fixed Unit Cost Adjustment</t>
  </si>
  <si>
    <t>Renewable Portfolio Standard Cost</t>
  </si>
  <si>
    <t>NJ Sales and Use Tax (SUT) =</t>
  </si>
  <si>
    <t>SUT excluded from all costs</t>
  </si>
  <si>
    <t>= Q112-S112</t>
  </si>
  <si>
    <t>RT (w/o RGT)</t>
  </si>
  <si>
    <t>NJ Sales and Use Tax (SUT) excluded</t>
  </si>
  <si>
    <t>Notes:</t>
  </si>
  <si>
    <t>Total BGS-RSCP Gen Obl - MW</t>
  </si>
  <si>
    <t>Days in BGS Delivery Year</t>
  </si>
  <si>
    <t>= line 3 * line 4 * line 5</t>
  </si>
  <si>
    <t>Eligible Tranches</t>
  </si>
  <si>
    <t>Total Tranches</t>
  </si>
  <si>
    <t>= line 7/ line 8</t>
  </si>
  <si>
    <t>= line 6 * line 9</t>
  </si>
  <si>
    <t>= line 9 * line 11</t>
  </si>
  <si>
    <t>= line 10 / line 12 (rounded to 2 decimal places)</t>
  </si>
  <si>
    <t>L/(H+I), Rounded to 2 decimals</t>
  </si>
  <si>
    <t>Capacity Proxy Price ($/MW-day)</t>
  </si>
  <si>
    <t>Capacity Proxy Price True-Up - $/MW-day</t>
  </si>
  <si>
    <t>Capacity Proxy Price True-Up - $/MWh</t>
  </si>
  <si>
    <t xml:space="preserve"> Line 1 - Line2</t>
  </si>
  <si>
    <t xml:space="preserve">Capacity Proxy Price True-Up Annual Cost </t>
  </si>
  <si>
    <t>% of tranches eligible for Payment</t>
  </si>
  <si>
    <t>Capacity Proxy Price True-Up Cost</t>
  </si>
  <si>
    <r>
      <t xml:space="preserve">Total Applicable Customer Usage 
@ transmission nodes </t>
    </r>
    <r>
      <rPr>
        <b/>
        <i/>
        <sz val="10"/>
        <rFont val="Arial"/>
        <family val="2"/>
      </rPr>
      <t xml:space="preserve">- </t>
    </r>
    <r>
      <rPr>
        <i/>
        <sz val="10"/>
        <rFont val="Arial"/>
        <family val="2"/>
      </rPr>
      <t>in MWh</t>
    </r>
  </si>
  <si>
    <r>
      <t>Eligible customer Usage 
@ transmission nodes -</t>
    </r>
    <r>
      <rPr>
        <i/>
        <sz val="10"/>
        <rFont val="Arial"/>
        <family val="2"/>
      </rPr>
      <t xml:space="preserve"> in MWh</t>
    </r>
  </si>
  <si>
    <t>Development of Capacity Proxy Price True-Up $/MWh 
and Calculation of Composite BGS-RSCP Price</t>
  </si>
  <si>
    <t>GS RSCP</t>
  </si>
  <si>
    <t>GST RSCP</t>
  </si>
  <si>
    <t>Zero, as Transmission product will be excluded from BGS product starting June 1, 2021.</t>
  </si>
  <si>
    <t>includes Energy, Generation obligations, and Ancillary Services - adjusted to billing time periods</t>
  </si>
  <si>
    <t>includes Energy, Generation Obligations, and Ancillary Services - adjusted to billing time periods</t>
  </si>
  <si>
    <t>Attachment 3 - Page 2 of 3</t>
  </si>
  <si>
    <t>Attachment 3 - Page 3 of 3</t>
  </si>
  <si>
    <t>Composite (Tranche Weighted) Costs w/o Transmission</t>
  </si>
  <si>
    <t>includes Energy and Ancillary Services, Generation Obligations charged separately - adjusted to billing time periods</t>
  </si>
  <si>
    <t>Zonal Capacity Price ($/MW-day) - JCPL Zone</t>
  </si>
  <si>
    <r>
      <t xml:space="preserve">BGS Post Transition
Year </t>
    </r>
    <r>
      <rPr>
        <b/>
        <sz val="10"/>
        <color indexed="12"/>
        <rFont val="Arial"/>
        <family val="2"/>
      </rPr>
      <t>23</t>
    </r>
  </si>
  <si>
    <t>2025 Auction</t>
  </si>
  <si>
    <t>mWh</t>
  </si>
  <si>
    <t>includes energy, Generation , and Ancillary Services - adjusted to billing time periods</t>
  </si>
  <si>
    <t>includes energy, Generation obligations, and Ancillary Services - adjusted to billing time periods</t>
  </si>
  <si>
    <t>Capacity Proxy Price True Up in $/MWH</t>
  </si>
  <si>
    <r>
      <t xml:space="preserve">BGS Post Transition
Year </t>
    </r>
    <r>
      <rPr>
        <b/>
        <sz val="10"/>
        <color indexed="12"/>
        <rFont val="Arial"/>
        <family val="2"/>
      </rPr>
      <t>24</t>
    </r>
  </si>
  <si>
    <t>2026 Auction</t>
  </si>
  <si>
    <t>2025/2026 BGS Supply Period Estimated Supplier Payments Allocated by Rate Class</t>
  </si>
  <si>
    <t>Post Transition Year 23 Costs w/o Transmission</t>
  </si>
  <si>
    <t>Illustration Only</t>
  </si>
  <si>
    <t>2027 Auction</t>
  </si>
  <si>
    <t>Table A - 2027/2028 Delivery Year - Illustrative Only</t>
  </si>
  <si>
    <r>
      <t xml:space="preserve">BGS Post Transition
Year </t>
    </r>
    <r>
      <rPr>
        <b/>
        <sz val="10"/>
        <color indexed="12"/>
        <rFont val="Arial"/>
        <family val="2"/>
      </rPr>
      <t>25</t>
    </r>
  </si>
  <si>
    <t>2027/2028
Delivery Year for Winning Suppliers from 2025 BGS-RSCP Auction*</t>
  </si>
  <si>
    <t>Table A - 2028/2029 Delivery Year - Illustrative Only</t>
  </si>
  <si>
    <t>2028/2029
Delivery Year for Winning Suppliers from 2026 BGS-RSCP Auction</t>
  </si>
  <si>
    <t>2026/2027 BGS Supply Period Estimated Supplier Payments Allocated by Rate Class</t>
  </si>
  <si>
    <r>
      <t xml:space="preserve">2025 </t>
    </r>
    <r>
      <rPr>
        <b/>
        <sz val="10"/>
        <rFont val="Arial"/>
        <family val="2"/>
      </rPr>
      <t>Auction with Capacity Proxy True-Up</t>
    </r>
  </si>
  <si>
    <r>
      <t xml:space="preserve"> Bid Factors and establish retail rates in Post Transition Year </t>
    </r>
    <r>
      <rPr>
        <sz val="10"/>
        <color indexed="12"/>
        <rFont val="Arial"/>
        <family val="2"/>
      </rPr>
      <t>23</t>
    </r>
    <r>
      <rPr>
        <sz val="10"/>
        <rFont val="Arial"/>
        <family val="2"/>
      </rPr>
      <t xml:space="preserve"> and adjusted to match the total cost at the actual supplier bid price.</t>
    </r>
  </si>
  <si>
    <t>June 1, 2027 through May 31, 2028 - Illustrative Only</t>
  </si>
  <si>
    <t>2028 Auction</t>
  </si>
  <si>
    <t>Post Transition Year 24 Costs w/o Transmission</t>
  </si>
  <si>
    <r>
      <t xml:space="preserve">BGS Post Transition
Year </t>
    </r>
    <r>
      <rPr>
        <b/>
        <sz val="10"/>
        <color indexed="12"/>
        <rFont val="Arial"/>
        <family val="2"/>
      </rPr>
      <t>26</t>
    </r>
  </si>
  <si>
    <t>Gen Pls - MW</t>
  </si>
  <si>
    <t>Zonal RPM Scaling Factor</t>
  </si>
  <si>
    <t>*</t>
  </si>
  <si>
    <t>Forecast 2026 Delivery MWh</t>
  </si>
  <si>
    <r>
      <t>calendar month sales forecasted for</t>
    </r>
    <r>
      <rPr>
        <b/>
        <i/>
        <sz val="10"/>
        <rFont val="Arial"/>
        <family val="2"/>
      </rPr>
      <t xml:space="preserve"> </t>
    </r>
    <r>
      <rPr>
        <b/>
        <i/>
        <sz val="10"/>
        <color indexed="12"/>
        <rFont val="Arial"/>
        <family val="2"/>
      </rPr>
      <t>2026</t>
    </r>
  </si>
  <si>
    <r>
      <t xml:space="preserve">obligations - annual average forecasted for </t>
    </r>
    <r>
      <rPr>
        <i/>
        <sz val="10"/>
        <color indexed="12"/>
        <rFont val="Arial"/>
        <family val="2"/>
      </rPr>
      <t>2026</t>
    </r>
    <r>
      <rPr>
        <i/>
        <sz val="10"/>
        <rFont val="Arial"/>
        <family val="2"/>
      </rPr>
      <t>; costs are market estimates</t>
    </r>
  </si>
  <si>
    <t>PJM RPM BRA for delivery year 2027/2028 as illustration. Will be updated with Final PJM RPM.</t>
  </si>
  <si>
    <t>BGS Docket No. ER24030191 dated Nov. 21, 2024</t>
  </si>
  <si>
    <r>
      <t xml:space="preserve">Forecasted </t>
    </r>
    <r>
      <rPr>
        <i/>
        <sz val="10"/>
        <color indexed="12"/>
        <rFont val="Arial"/>
        <family val="2"/>
      </rPr>
      <t>2026</t>
    </r>
    <r>
      <rPr>
        <i/>
        <sz val="10"/>
        <rFont val="Arial"/>
        <family val="2"/>
      </rPr>
      <t xml:space="preserve"> kWh</t>
    </r>
  </si>
  <si>
    <t>Post Transition Year 25 Costs w/o Transmission</t>
  </si>
  <si>
    <t>2027 BGS Auction Cost and Bid Factor Tables</t>
  </si>
  <si>
    <t>2027/2028 BGS Supply Period Estimated Supplier Payments Allocated by Rate Class</t>
  </si>
  <si>
    <r>
      <t xml:space="preserve">Based on an average of </t>
    </r>
    <r>
      <rPr>
        <i/>
        <sz val="10"/>
        <color rgb="FF0000FF"/>
        <rFont val="Arial"/>
        <family val="2"/>
      </rPr>
      <t>2023, 2024 and 2025</t>
    </r>
    <r>
      <rPr>
        <i/>
        <sz val="10"/>
        <rFont val="Arial"/>
        <family val="2"/>
      </rPr>
      <t xml:space="preserve"> Load Information</t>
    </r>
  </si>
  <si>
    <r>
      <t xml:space="preserve">2026 </t>
    </r>
    <r>
      <rPr>
        <i/>
        <sz val="10"/>
        <rFont val="Arial"/>
        <family val="2"/>
      </rPr>
      <t>Forecasted Calendar Month Sales</t>
    </r>
  </si>
  <si>
    <t>FPR</t>
  </si>
  <si>
    <t>Not Applicable to 2027/2028 BGS Supply Period</t>
  </si>
  <si>
    <r>
      <t xml:space="preserve"> based on </t>
    </r>
    <r>
      <rPr>
        <sz val="10"/>
        <color indexed="12"/>
        <rFont val="Arial"/>
        <family val="2"/>
      </rPr>
      <t xml:space="preserve">6/27 to 5/28 </t>
    </r>
    <r>
      <rPr>
        <sz val="10"/>
        <rFont val="Arial"/>
        <family val="2"/>
      </rPr>
      <t>Forwards @ PJM West corrected for hub-zone basis differential</t>
    </r>
  </si>
  <si>
    <r>
      <t xml:space="preserve"> forecasted </t>
    </r>
    <r>
      <rPr>
        <sz val="10"/>
        <color indexed="12"/>
        <rFont val="Arial"/>
        <family val="2"/>
      </rPr>
      <t xml:space="preserve">2026 </t>
    </r>
    <r>
      <rPr>
        <sz val="10"/>
        <rFont val="Arial"/>
        <family val="2"/>
      </rPr>
      <t xml:space="preserve">energy use by class based upon PJM on/off % from </t>
    </r>
    <r>
      <rPr>
        <sz val="10"/>
        <color indexed="12"/>
        <rFont val="Arial"/>
        <family val="2"/>
      </rPr>
      <t>2023 through 2025</t>
    </r>
    <r>
      <rPr>
        <sz val="10"/>
        <rFont val="Arial"/>
        <family val="2"/>
      </rPr>
      <t xml:space="preserve"> class load information</t>
    </r>
  </si>
  <si>
    <r>
      <t xml:space="preserve">   JCP&amp;L billing on/off % from </t>
    </r>
    <r>
      <rPr>
        <sz val="10"/>
        <color indexed="12"/>
        <rFont val="Arial"/>
        <family val="2"/>
      </rPr>
      <t xml:space="preserve">2026 </t>
    </r>
    <r>
      <rPr>
        <sz val="10"/>
        <rFont val="Arial"/>
        <family val="2"/>
      </rPr>
      <t>forecasted billing determinants</t>
    </r>
  </si>
  <si>
    <r>
      <t xml:space="preserve">class totals for </t>
    </r>
    <r>
      <rPr>
        <sz val="10"/>
        <color indexed="12"/>
        <rFont val="Arial"/>
        <family val="2"/>
      </rPr>
      <t>2026</t>
    </r>
    <r>
      <rPr>
        <sz val="10"/>
        <rFont val="Arial"/>
        <family val="2"/>
      </rPr>
      <t xml:space="preserve"> excluding accounts required to take service under BGS-CIEP as of </t>
    </r>
    <r>
      <rPr>
        <sz val="10"/>
        <color indexed="12"/>
        <rFont val="Arial"/>
        <family val="2"/>
      </rPr>
      <t>June 1, 2027</t>
    </r>
  </si>
  <si>
    <r>
      <t xml:space="preserve">2026 </t>
    </r>
    <r>
      <rPr>
        <b/>
        <sz val="10"/>
        <rFont val="Arial"/>
        <family val="2"/>
      </rPr>
      <t>Auction with Capacity Proxy True-Up</t>
    </r>
  </si>
  <si>
    <r>
      <t xml:space="preserve"> Bid Factors and establish retail rates in Post Transition Year </t>
    </r>
    <r>
      <rPr>
        <sz val="10"/>
        <color indexed="12"/>
        <rFont val="Arial"/>
        <family val="2"/>
      </rPr>
      <t xml:space="preserve">24 </t>
    </r>
    <r>
      <rPr>
        <sz val="10"/>
        <rFont val="Arial"/>
        <family val="2"/>
      </rPr>
      <t>and adjusted to match the total cost at the actual supplier bid price.</t>
    </r>
  </si>
  <si>
    <r>
      <t xml:space="preserve">Table #14 * Table #6 from </t>
    </r>
    <r>
      <rPr>
        <sz val="10"/>
        <color rgb="FF0000FF"/>
        <rFont val="Arial"/>
        <family val="2"/>
      </rPr>
      <t>2027</t>
    </r>
    <r>
      <rPr>
        <sz val="10"/>
        <rFont val="Arial"/>
        <family val="2"/>
      </rPr>
      <t xml:space="preserve"> BGS Auction Cost and Bid Factor Tables 
- Illustrative Only</t>
    </r>
  </si>
  <si>
    <t>2028/2029
Delivery Year for Winning Suppliers from 2027 BGS-RSCP Auction</t>
  </si>
  <si>
    <r>
      <t xml:space="preserve">Table #10 of the </t>
    </r>
    <r>
      <rPr>
        <sz val="10"/>
        <color rgb="FF0000FF"/>
        <rFont val="Arial"/>
        <family val="2"/>
      </rPr>
      <t xml:space="preserve">2027 </t>
    </r>
    <r>
      <rPr>
        <sz val="10"/>
        <rFont val="Arial"/>
        <family val="2"/>
      </rPr>
      <t xml:space="preserve">BGS Auction Cost and Bid Factor Tables </t>
    </r>
  </si>
  <si>
    <r>
      <t xml:space="preserve">Table #14 * Table #6 from </t>
    </r>
    <r>
      <rPr>
        <sz val="10"/>
        <color rgb="FF0000FF"/>
        <rFont val="Arial"/>
        <family val="2"/>
      </rPr>
      <t>2027</t>
    </r>
    <r>
      <rPr>
        <sz val="10"/>
        <rFont val="Arial"/>
        <family val="2"/>
      </rPr>
      <t xml:space="preserve"> BGS Auction Cost and Bid Factor Tables</t>
    </r>
  </si>
  <si>
    <t>June 1, 2028 through May 31, 2029 - Illustrative Only</t>
  </si>
  <si>
    <t>2029 Auction</t>
  </si>
  <si>
    <r>
      <t xml:space="preserve">BGS Post Transition
Year </t>
    </r>
    <r>
      <rPr>
        <b/>
        <sz val="10"/>
        <color indexed="12"/>
        <rFont val="Arial"/>
        <family val="2"/>
      </rPr>
      <t>27</t>
    </r>
  </si>
  <si>
    <t>Table A - 2029/2030 Delivery Year - Illustrative Only</t>
  </si>
  <si>
    <t>2029/2030
Delivery Year for Winning Suppliers from 2027 BGS-RSCP Auction</t>
  </si>
  <si>
    <t>Per Board Order ER26040105, dated xxxxxx,2026</t>
  </si>
  <si>
    <t>Attachment 3 - Page 1of 3</t>
  </si>
  <si>
    <r>
      <t xml:space="preserve">Table #10 of the </t>
    </r>
    <r>
      <rPr>
        <sz val="10"/>
        <color rgb="FF0000FF"/>
        <rFont val="Arial"/>
        <family val="2"/>
      </rPr>
      <t>2027</t>
    </r>
    <r>
      <rPr>
        <sz val="10"/>
        <rFont val="Arial"/>
        <family val="2"/>
      </rPr>
      <t xml:space="preserve"> BGS Auction Cost and Bid Factor Tables </t>
    </r>
  </si>
  <si>
    <t>***: Jun 2026 Updt</t>
  </si>
  <si>
    <t>mWh***</t>
  </si>
  <si>
    <t>kWh***</t>
  </si>
  <si>
    <t xml:space="preserve"> kWh***</t>
  </si>
  <si>
    <t>2026 kWh ***</t>
  </si>
  <si>
    <t>CTWH RSH***</t>
  </si>
  <si>
    <t>CTWH RS***</t>
  </si>
  <si>
    <t>CTWH GS***</t>
  </si>
  <si>
    <t xml:space="preserve"> Line 1 - Line 2</t>
  </si>
  <si>
    <t>Per BPU Docket No. ER25040190, dated Nov. 21, 2025 and ER26040105, dated xxxxxx,2026</t>
  </si>
  <si>
    <t>June 1, 2029 through May 31, 2030 - Illustration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</si>
</sst>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2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.000"/>
    <numFmt numFmtId="166" formatCode="0.00000"/>
    <numFmt numFmtId="167" formatCode="0.0000"/>
    <numFmt numFmtId="168" formatCode="0.000%"/>
    <numFmt numFmtId="169" formatCode="0.0000%"/>
    <numFmt numFmtId="170" formatCode="#,##0.0"/>
    <numFmt numFmtId="171" formatCode="_(&quot;$&quot;* #,##0_);_(&quot;$&quot;* \(#,##0\);_(&quot;$&quot;* &quot;-&quot;??_);_(@_)"/>
    <numFmt numFmtId="172" formatCode="0.000000"/>
    <numFmt numFmtId="173" formatCode="_(&quot;$&quot;* #,##0.000_);_(&quot;$&quot;* \(#,##0.000\);_(&quot;$&quot;* &quot;-&quot;??_);_(@_)"/>
    <numFmt numFmtId="174" formatCode="_(&quot;$&quot;* #,##0.0000_);_(&quot;$&quot;* \(#,##0.0000\);_(&quot;$&quot;* &quot;-&quot;??_);_(@_)"/>
    <numFmt numFmtId="175" formatCode="0.0%"/>
    <numFmt numFmtId="176" formatCode="_(* #,##0_);_(* \(#,##0\);_(* &quot;-&quot;??_);_(@_)"/>
    <numFmt numFmtId="177" formatCode="_(* #,##0.000_);_(* \(#,##0.000\);_(* &quot;-&quot;??_);_(@_)"/>
    <numFmt numFmtId="178" formatCode="_(* #,##0.0000_);_(* \(#,##0.0000\);_(* &quot;-&quot;??_);_(@_)"/>
    <numFmt numFmtId="179" formatCode="_(* #,##0.00000_);_(* \(#,##0.00000\);_(* &quot;-&quot;??_);_(@_)"/>
    <numFmt numFmtId="180" formatCode="#,##0.000"/>
    <numFmt numFmtId="181" formatCode="_(* #,##0.000000_);_(* \(#,##0.000000\);_(* &quot;-&quot;??_);_(@_)"/>
    <numFmt numFmtId="182" formatCode="0.000000%"/>
    <numFmt numFmtId="183" formatCode="mm/dd/yy;@"/>
    <numFmt numFmtId="184" formatCode="&quot;$&quot;#,##0.000000"/>
    <numFmt numFmtId="185" formatCode="&quot;$&quot;#,##0"/>
    <numFmt numFmtId="186" formatCode="&quot;$&quot;#,##0.00"/>
    <numFmt numFmtId="187" formatCode="#,##0.000000_);\(#,##0.000000\)"/>
    <numFmt numFmtId="188" formatCode="_(* #,##0.0_);_(* \(#,##0.0\);_(* &quot;-&quot;??_);_(@_)"/>
    <numFmt numFmtId="189" formatCode="&quot;$&quot;#,##0.000"/>
    <numFmt numFmtId="190" formatCode="0.00000%"/>
  </numFmts>
  <fonts count="8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i/>
      <u/>
      <sz val="10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  <font>
      <b/>
      <sz val="10"/>
      <color indexed="54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u val="singleAccounting"/>
      <sz val="10"/>
      <name val="Arial"/>
      <family val="2"/>
    </font>
    <font>
      <sz val="10"/>
      <color indexed="54"/>
      <name val="Arial"/>
      <family val="2"/>
    </font>
    <font>
      <u/>
      <sz val="10"/>
      <color indexed="54"/>
      <name val="Arial"/>
      <family val="2"/>
    </font>
    <font>
      <b/>
      <sz val="10"/>
      <color indexed="10"/>
      <name val="Arial"/>
      <family val="2"/>
    </font>
    <font>
      <sz val="10"/>
      <color indexed="2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indexed="12"/>
      <name val="Arial"/>
      <family val="2"/>
    </font>
    <font>
      <b/>
      <sz val="10"/>
      <color indexed="16"/>
      <name val="Arial"/>
      <family val="2"/>
    </font>
    <font>
      <sz val="10"/>
      <color indexed="16"/>
      <name val="Arial"/>
      <family val="2"/>
    </font>
    <font>
      <sz val="10"/>
      <color indexed="53"/>
      <name val="Arial"/>
      <family val="2"/>
    </font>
    <font>
      <u/>
      <sz val="10"/>
      <color indexed="53"/>
      <name val="Arial"/>
      <family val="2"/>
    </font>
    <font>
      <u/>
      <sz val="10"/>
      <color indexed="8"/>
      <name val="Arial"/>
      <family val="2"/>
    </font>
    <font>
      <b/>
      <sz val="10"/>
      <color indexed="53"/>
      <name val="Arial"/>
      <family val="2"/>
    </font>
    <font>
      <b/>
      <sz val="10"/>
      <color indexed="8"/>
      <name val="Arial"/>
      <family val="2"/>
    </font>
    <font>
      <b/>
      <sz val="12"/>
      <color indexed="12"/>
      <name val="Arial"/>
      <family val="2"/>
    </font>
    <font>
      <sz val="10"/>
      <color indexed="17"/>
      <name val="Arial"/>
      <family val="2"/>
    </font>
    <font>
      <b/>
      <sz val="10"/>
      <color indexed="20"/>
      <name val="Arial"/>
      <family val="2"/>
    </font>
    <font>
      <b/>
      <sz val="10"/>
      <color indexed="17"/>
      <name val="Arial"/>
      <family val="2"/>
    </font>
    <font>
      <sz val="8"/>
      <name val="Arial"/>
      <family val="2"/>
    </font>
    <font>
      <i/>
      <sz val="10"/>
      <color indexed="12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u/>
      <sz val="10"/>
      <color indexed="20"/>
      <name val="Arial"/>
      <family val="2"/>
    </font>
    <font>
      <b/>
      <i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0"/>
      <color indexed="17"/>
      <name val="Arial"/>
      <family val="2"/>
    </font>
    <font>
      <u/>
      <sz val="10"/>
      <color indexed="17"/>
      <name val="Arial"/>
      <family val="2"/>
    </font>
    <font>
      <sz val="10"/>
      <color indexed="10"/>
      <name val="Arial"/>
      <family val="2"/>
    </font>
    <font>
      <sz val="10"/>
      <color indexed="30"/>
      <name val="Arial"/>
      <family val="2"/>
    </font>
    <font>
      <u/>
      <sz val="10"/>
      <color indexed="16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sz val="10"/>
      <color rgb="FF7030A0"/>
      <name val="Arial"/>
      <family val="2"/>
    </font>
    <font>
      <sz val="10"/>
      <color theme="9" tint="-0.499984740745262"/>
      <name val="Arial"/>
      <family val="2"/>
    </font>
    <font>
      <b/>
      <sz val="10"/>
      <color rgb="FF7030A0"/>
      <name val="Arial"/>
      <family val="2"/>
    </font>
    <font>
      <sz val="10"/>
      <color rgb="FF006600"/>
      <name val="Arial"/>
      <family val="2"/>
    </font>
    <font>
      <b/>
      <sz val="10"/>
      <color rgb="FFFF0000"/>
      <name val="Arial"/>
      <family val="2"/>
    </font>
    <font>
      <u/>
      <sz val="10"/>
      <color rgb="FF0000FF"/>
      <name val="Arial"/>
      <family val="2"/>
    </font>
    <font>
      <i/>
      <sz val="10"/>
      <color rgb="FF0000FF"/>
      <name val="Arial"/>
      <family val="2"/>
    </font>
    <font>
      <sz val="10"/>
      <color rgb="FFFF0000"/>
      <name val="Arial"/>
      <family val="2"/>
    </font>
    <font>
      <b/>
      <sz val="14"/>
      <color rgb="FF0000FF"/>
      <name val="Arial"/>
      <family val="2"/>
    </font>
    <font>
      <b/>
      <sz val="10"/>
      <color rgb="FF0000FF"/>
      <name val="Times New Roman"/>
      <family val="1"/>
    </font>
    <font>
      <sz val="10"/>
      <name val="Times New Roman"/>
      <family val="1"/>
    </font>
    <font>
      <sz val="10"/>
      <color indexed="9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0"/>
      <color theme="9" tint="-0.499984740745262"/>
      <name val="Arial"/>
      <family val="2"/>
    </font>
    <font>
      <sz val="10"/>
      <color theme="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4" borderId="0" applyNumberFormat="0" applyBorder="0" applyAlignment="0" applyProtection="0"/>
    <xf numFmtId="0" fontId="19" fillId="8" borderId="0" applyNumberFormat="0" applyBorder="0" applyAlignment="0" applyProtection="0"/>
    <xf numFmtId="0" fontId="60" fillId="25" borderId="22" applyNumberFormat="0" applyAlignment="0" applyProtection="0"/>
    <xf numFmtId="0" fontId="61" fillId="26" borderId="23" applyNumberFormat="0" applyAlignment="0" applyProtection="0"/>
    <xf numFmtId="0" fontId="62" fillId="0" borderId="0" applyNumberFormat="0" applyFill="0" applyBorder="0" applyAlignment="0" applyProtection="0"/>
    <xf numFmtId="0" fontId="31" fillId="9" borderId="0" applyNumberFormat="0" applyBorder="0" applyAlignment="0" applyProtection="0"/>
    <xf numFmtId="0" fontId="63" fillId="0" borderId="24" applyNumberFormat="0" applyFill="0" applyAlignment="0" applyProtection="0"/>
    <xf numFmtId="0" fontId="64" fillId="0" borderId="25" applyNumberFormat="0" applyFill="0" applyAlignment="0" applyProtection="0"/>
    <xf numFmtId="0" fontId="65" fillId="0" borderId="26" applyNumberFormat="0" applyFill="0" applyAlignment="0" applyProtection="0"/>
    <xf numFmtId="0" fontId="65" fillId="0" borderId="0" applyNumberFormat="0" applyFill="0" applyBorder="0" applyAlignment="0" applyProtection="0"/>
    <xf numFmtId="0" fontId="66" fillId="12" borderId="22" applyNumberFormat="0" applyAlignment="0" applyProtection="0"/>
    <xf numFmtId="0" fontId="67" fillId="0" borderId="27" applyNumberFormat="0" applyFill="0" applyAlignment="0" applyProtection="0"/>
    <xf numFmtId="0" fontId="68" fillId="27" borderId="0" applyNumberFormat="0" applyBorder="0" applyAlignment="0" applyProtection="0"/>
    <xf numFmtId="0" fontId="3" fillId="28" borderId="28" applyNumberFormat="0" applyFont="0" applyAlignment="0" applyProtection="0"/>
    <xf numFmtId="0" fontId="69" fillId="25" borderId="29" applyNumberFormat="0" applyAlignment="0" applyProtection="0"/>
    <xf numFmtId="0" fontId="70" fillId="0" borderId="0" applyNumberFormat="0" applyFill="0" applyBorder="0" applyAlignment="0" applyProtection="0"/>
    <xf numFmtId="0" fontId="29" fillId="0" borderId="30" applyNumberFormat="0" applyFill="0" applyAlignment="0" applyProtection="0"/>
    <xf numFmtId="0" fontId="43" fillId="0" borderId="0" applyNumberFormat="0" applyFill="0" applyBorder="0" applyAlignment="0" applyProtection="0"/>
    <xf numFmtId="0" fontId="1" fillId="0" borderId="0"/>
    <xf numFmtId="0" fontId="34" fillId="0" borderId="0"/>
    <xf numFmtId="43" fontId="34" fillId="0" borderId="0" applyFont="0" applyFill="0" applyBorder="0" applyAlignment="0" applyProtection="0"/>
    <xf numFmtId="0" fontId="3" fillId="0" borderId="0"/>
    <xf numFmtId="0" fontId="71" fillId="7" borderId="0" applyNumberFormat="0" applyBorder="0" applyAlignment="0" applyProtection="0"/>
    <xf numFmtId="0" fontId="71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2" borderId="0" applyNumberFormat="0" applyBorder="0" applyAlignment="0" applyProtection="0"/>
    <xf numFmtId="0" fontId="71" fillId="13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0" borderId="0" applyNumberFormat="0" applyBorder="0" applyAlignment="0" applyProtection="0"/>
    <xf numFmtId="0" fontId="71" fillId="13" borderId="0" applyNumberFormat="0" applyBorder="0" applyAlignment="0" applyProtection="0"/>
    <xf numFmtId="0" fontId="71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3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24" borderId="0" applyNumberFormat="0" applyBorder="0" applyAlignment="0" applyProtection="0"/>
    <xf numFmtId="0" fontId="73" fillId="8" borderId="0" applyNumberFormat="0" applyBorder="0" applyAlignment="0" applyProtection="0"/>
    <xf numFmtId="0" fontId="74" fillId="25" borderId="22" applyNumberFormat="0" applyAlignment="0" applyProtection="0"/>
    <xf numFmtId="0" fontId="75" fillId="26" borderId="23" applyNumberFormat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77" fillId="9" borderId="0" applyNumberFormat="0" applyBorder="0" applyAlignment="0" applyProtection="0"/>
    <xf numFmtId="0" fontId="78" fillId="0" borderId="24" applyNumberFormat="0" applyFill="0" applyAlignment="0" applyProtection="0"/>
    <xf numFmtId="0" fontId="79" fillId="0" borderId="25" applyNumberFormat="0" applyFill="0" applyAlignment="0" applyProtection="0"/>
    <xf numFmtId="0" fontId="80" fillId="0" borderId="26" applyNumberFormat="0" applyFill="0" applyAlignment="0" applyProtection="0"/>
    <xf numFmtId="0" fontId="80" fillId="0" borderId="0" applyNumberFormat="0" applyFill="0" applyBorder="0" applyAlignment="0" applyProtection="0"/>
    <xf numFmtId="0" fontId="81" fillId="12" borderId="22" applyNumberFormat="0" applyAlignment="0" applyProtection="0"/>
    <xf numFmtId="0" fontId="82" fillId="0" borderId="27" applyNumberFormat="0" applyFill="0" applyAlignment="0" applyProtection="0"/>
    <xf numFmtId="0" fontId="83" fillId="27" borderId="0" applyNumberFormat="0" applyBorder="0" applyAlignment="0" applyProtection="0"/>
    <xf numFmtId="0" fontId="58" fillId="0" borderId="0"/>
    <xf numFmtId="0" fontId="71" fillId="0" borderId="0"/>
    <xf numFmtId="0" fontId="71" fillId="28" borderId="28" applyNumberFormat="0" applyFont="0" applyAlignment="0" applyProtection="0"/>
    <xf numFmtId="0" fontId="58" fillId="28" borderId="28" applyNumberFormat="0" applyFont="0" applyAlignment="0" applyProtection="0"/>
    <xf numFmtId="0" fontId="84" fillId="25" borderId="29" applyNumberFormat="0" applyAlignment="0" applyProtection="0"/>
    <xf numFmtId="9" fontId="3" fillId="0" borderId="0" applyFont="0" applyFill="0" applyBorder="0" applyAlignment="0" applyProtection="0"/>
    <xf numFmtId="0" fontId="70" fillId="0" borderId="0" applyNumberFormat="0" applyFill="0" applyBorder="0" applyAlignment="0" applyProtection="0"/>
    <xf numFmtId="0" fontId="85" fillId="0" borderId="30" applyNumberFormat="0" applyFill="0" applyAlignment="0" applyProtection="0"/>
    <xf numFmtId="0" fontId="8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51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171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43" fontId="4" fillId="0" borderId="0" xfId="1" quotePrefix="1" applyFont="1"/>
    <xf numFmtId="0" fontId="11" fillId="0" borderId="0" xfId="0" applyFont="1"/>
    <xf numFmtId="44" fontId="6" fillId="0" borderId="0" xfId="2" applyFont="1" applyFill="1"/>
    <xf numFmtId="0" fontId="0" fillId="0" borderId="0" xfId="0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5" fillId="0" borderId="0" xfId="0" quotePrefix="1" applyFont="1"/>
    <xf numFmtId="39" fontId="4" fillId="0" borderId="0" xfId="0" quotePrefix="1" applyNumberFormat="1" applyFont="1"/>
    <xf numFmtId="0" fontId="4" fillId="0" borderId="0" xfId="0" applyFont="1"/>
    <xf numFmtId="0" fontId="7" fillId="0" borderId="0" xfId="0" applyFont="1" applyAlignment="1">
      <alignment horizontal="center" wrapText="1"/>
    </xf>
    <xf numFmtId="0" fontId="7" fillId="0" borderId="0" xfId="0" quotePrefix="1" applyFont="1"/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7" fontId="0" fillId="0" borderId="0" xfId="0" applyNumberFormat="1"/>
    <xf numFmtId="175" fontId="6" fillId="0" borderId="0" xfId="3" applyNumberFormat="1" applyFont="1" applyFill="1"/>
    <xf numFmtId="175" fontId="6" fillId="0" borderId="0" xfId="3" quotePrefix="1" applyNumberFormat="1" applyFont="1" applyFill="1"/>
    <xf numFmtId="9" fontId="6" fillId="0" borderId="0" xfId="3" quotePrefix="1" applyFont="1" applyFill="1"/>
    <xf numFmtId="9" fontId="4" fillId="0" borderId="0" xfId="3" quotePrefix="1" applyFont="1" applyFill="1"/>
    <xf numFmtId="9" fontId="6" fillId="0" borderId="0" xfId="3" applyFont="1" applyFill="1"/>
    <xf numFmtId="9" fontId="7" fillId="0" borderId="0" xfId="3" applyFont="1" applyFill="1"/>
    <xf numFmtId="9" fontId="6" fillId="0" borderId="0" xfId="3" quotePrefix="1" applyFont="1" applyFill="1" applyAlignment="1">
      <alignment horizontal="center"/>
    </xf>
    <xf numFmtId="17" fontId="0" fillId="0" borderId="0" xfId="0" quotePrefix="1" applyNumberFormat="1"/>
    <xf numFmtId="17" fontId="5" fillId="0" borderId="0" xfId="0" applyNumberFormat="1" applyFont="1"/>
    <xf numFmtId="17" fontId="7" fillId="0" borderId="0" xfId="0" applyNumberFormat="1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3" fontId="6" fillId="0" borderId="0" xfId="0" applyNumberFormat="1" applyFont="1"/>
    <xf numFmtId="3" fontId="13" fillId="0" borderId="0" xfId="0" applyNumberFormat="1" applyFont="1"/>
    <xf numFmtId="0" fontId="0" fillId="0" borderId="4" xfId="0" applyBorder="1" applyAlignment="1">
      <alignment horizontal="right"/>
    </xf>
    <xf numFmtId="3" fontId="0" fillId="0" borderId="0" xfId="0" quotePrefix="1" applyNumberFormat="1"/>
    <xf numFmtId="3" fontId="0" fillId="0" borderId="5" xfId="0" applyNumberFormat="1" applyBorder="1"/>
    <xf numFmtId="166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7" fontId="0" fillId="0" borderId="0" xfId="0" applyNumberFormat="1" applyAlignment="1">
      <alignment horizontal="center"/>
    </xf>
    <xf numFmtId="37" fontId="0" fillId="0" borderId="0" xfId="0" applyNumberFormat="1"/>
    <xf numFmtId="0" fontId="10" fillId="0" borderId="0" xfId="0" applyFont="1" applyAlignment="1">
      <alignment horizontal="center"/>
    </xf>
    <xf numFmtId="0" fontId="0" fillId="0" borderId="6" xfId="0" applyBorder="1" applyAlignment="1">
      <alignment horizontal="right"/>
    </xf>
    <xf numFmtId="3" fontId="0" fillId="0" borderId="7" xfId="0" quotePrefix="1" applyNumberFormat="1" applyBorder="1"/>
    <xf numFmtId="3" fontId="0" fillId="0" borderId="7" xfId="0" applyNumberFormat="1" applyBorder="1"/>
    <xf numFmtId="180" fontId="6" fillId="0" borderId="0" xfId="0" applyNumberFormat="1" applyFont="1"/>
    <xf numFmtId="4" fontId="6" fillId="0" borderId="0" xfId="0" applyNumberFormat="1" applyFont="1"/>
    <xf numFmtId="169" fontId="6" fillId="0" borderId="0" xfId="0" applyNumberFormat="1" applyFont="1"/>
    <xf numFmtId="166" fontId="0" fillId="0" borderId="0" xfId="0" applyNumberFormat="1"/>
    <xf numFmtId="44" fontId="4" fillId="0" borderId="0" xfId="2" quotePrefix="1" applyFont="1" applyFill="1"/>
    <xf numFmtId="173" fontId="4" fillId="0" borderId="0" xfId="2" quotePrefix="1" applyNumberFormat="1" applyFont="1" applyFill="1"/>
    <xf numFmtId="171" fontId="4" fillId="0" borderId="0" xfId="2" quotePrefix="1" applyNumberFormat="1" applyFont="1" applyFill="1"/>
    <xf numFmtId="17" fontId="0" fillId="0" borderId="0" xfId="0" applyNumberFormat="1" applyAlignment="1">
      <alignment horizontal="right"/>
    </xf>
    <xf numFmtId="44" fontId="4" fillId="0" borderId="0" xfId="2" applyFont="1" applyFill="1"/>
    <xf numFmtId="173" fontId="4" fillId="0" borderId="0" xfId="2" applyNumberFormat="1" applyFont="1" applyFill="1"/>
    <xf numFmtId="171" fontId="4" fillId="0" borderId="0" xfId="2" applyNumberFormat="1" applyFont="1" applyFill="1"/>
    <xf numFmtId="39" fontId="0" fillId="0" borderId="0" xfId="0" applyNumberFormat="1"/>
    <xf numFmtId="171" fontId="0" fillId="0" borderId="0" xfId="2" applyNumberFormat="1" applyFont="1" applyFill="1"/>
    <xf numFmtId="171" fontId="15" fillId="0" borderId="0" xfId="2" applyNumberFormat="1" applyFont="1" applyFill="1"/>
    <xf numFmtId="170" fontId="6" fillId="0" borderId="0" xfId="0" applyNumberFormat="1" applyFont="1"/>
    <xf numFmtId="170" fontId="0" fillId="0" borderId="0" xfId="0" applyNumberFormat="1"/>
    <xf numFmtId="170" fontId="13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/>
    <xf numFmtId="0" fontId="0" fillId="0" borderId="0" xfId="0" quotePrefix="1" applyAlignment="1">
      <alignment horizontal="right"/>
    </xf>
    <xf numFmtId="171" fontId="6" fillId="0" borderId="0" xfId="2" applyNumberFormat="1" applyFont="1" applyFill="1"/>
    <xf numFmtId="0" fontId="0" fillId="0" borderId="0" xfId="0" quotePrefix="1"/>
    <xf numFmtId="0" fontId="4" fillId="0" borderId="0" xfId="0" quotePrefix="1" applyFont="1" applyAlignment="1">
      <alignment horizontal="center"/>
    </xf>
    <xf numFmtId="44" fontId="0" fillId="0" borderId="0" xfId="2" quotePrefix="1" applyFont="1" applyFill="1"/>
    <xf numFmtId="0" fontId="11" fillId="0" borderId="0" xfId="0" applyFont="1" applyAlignment="1">
      <alignment horizontal="left"/>
    </xf>
    <xf numFmtId="43" fontId="5" fillId="0" borderId="0" xfId="1" quotePrefix="1" applyFont="1" applyFill="1" applyBorder="1"/>
    <xf numFmtId="43" fontId="4" fillId="0" borderId="0" xfId="1" quotePrefix="1" applyFont="1" applyFill="1"/>
    <xf numFmtId="43" fontId="4" fillId="0" borderId="0" xfId="1" quotePrefix="1" applyFont="1" applyFill="1" applyBorder="1"/>
    <xf numFmtId="44" fontId="5" fillId="0" borderId="0" xfId="0" applyNumberFormat="1" applyFont="1"/>
    <xf numFmtId="44" fontId="0" fillId="0" borderId="0" xfId="0" applyNumberFormat="1"/>
    <xf numFmtId="43" fontId="4" fillId="0" borderId="0" xfId="1" applyFont="1" applyFill="1"/>
    <xf numFmtId="178" fontId="5" fillId="0" borderId="0" xfId="1" applyNumberFormat="1" applyFont="1"/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7" fontId="16" fillId="0" borderId="0" xfId="0" applyNumberFormat="1" applyFont="1"/>
    <xf numFmtId="0" fontId="17" fillId="0" borderId="0" xfId="0" applyFont="1"/>
    <xf numFmtId="10" fontId="0" fillId="0" borderId="0" xfId="0" applyNumberFormat="1"/>
    <xf numFmtId="0" fontId="4" fillId="0" borderId="0" xfId="0" applyFont="1" applyAlignment="1">
      <alignment horizontal="right"/>
    </xf>
    <xf numFmtId="167" fontId="4" fillId="0" borderId="0" xfId="0" applyNumberFormat="1" applyFont="1"/>
    <xf numFmtId="0" fontId="18" fillId="0" borderId="0" xfId="0" applyFont="1"/>
    <xf numFmtId="44" fontId="5" fillId="0" borderId="0" xfId="2" quotePrefix="1" applyFont="1" applyFill="1" applyBorder="1"/>
    <xf numFmtId="3" fontId="0" fillId="0" borderId="0" xfId="0" applyNumberFormat="1" applyAlignment="1">
      <alignment horizontal="right"/>
    </xf>
    <xf numFmtId="0" fontId="0" fillId="0" borderId="7" xfId="0" applyBorder="1" applyAlignment="1">
      <alignment horizontal="right"/>
    </xf>
    <xf numFmtId="10" fontId="13" fillId="0" borderId="0" xfId="0" applyNumberFormat="1" applyFont="1"/>
    <xf numFmtId="164" fontId="0" fillId="0" borderId="0" xfId="0" applyNumberFormat="1"/>
    <xf numFmtId="174" fontId="4" fillId="0" borderId="0" xfId="2" quotePrefix="1" applyNumberFormat="1" applyFont="1" applyFill="1"/>
    <xf numFmtId="22" fontId="0" fillId="0" borderId="0" xfId="0" applyNumberFormat="1"/>
    <xf numFmtId="0" fontId="11" fillId="0" borderId="0" xfId="0" applyFont="1" applyAlignment="1">
      <alignment horizontal="right"/>
    </xf>
    <xf numFmtId="171" fontId="15" fillId="0" borderId="0" xfId="0" applyNumberFormat="1" applyFont="1"/>
    <xf numFmtId="177" fontId="5" fillId="0" borderId="0" xfId="1" quotePrefix="1" applyNumberFormat="1" applyFont="1" applyFill="1" applyBorder="1"/>
    <xf numFmtId="177" fontId="4" fillId="0" borderId="0" xfId="1" quotePrefix="1" applyNumberFormat="1" applyFont="1" applyFill="1" applyBorder="1"/>
    <xf numFmtId="9" fontId="6" fillId="0" borderId="9" xfId="3" applyFont="1" applyFill="1" applyBorder="1"/>
    <xf numFmtId="9" fontId="6" fillId="0" borderId="10" xfId="3" applyFont="1" applyFill="1" applyBorder="1"/>
    <xf numFmtId="3" fontId="19" fillId="0" borderId="0" xfId="0" applyNumberFormat="1" applyFont="1" applyAlignment="1">
      <alignment horizontal="right"/>
    </xf>
    <xf numFmtId="0" fontId="0" fillId="0" borderId="7" xfId="0" applyBorder="1" applyAlignment="1">
      <alignment horizontal="center"/>
    </xf>
    <xf numFmtId="9" fontId="23" fillId="0" borderId="0" xfId="3" applyFont="1" applyFill="1"/>
    <xf numFmtId="10" fontId="6" fillId="0" borderId="0" xfId="3" quotePrefix="1" applyNumberFormat="1" applyFont="1" applyFill="1" applyAlignment="1">
      <alignment horizontal="center"/>
    </xf>
    <xf numFmtId="0" fontId="13" fillId="0" borderId="0" xfId="0" applyFont="1"/>
    <xf numFmtId="1" fontId="0" fillId="0" borderId="0" xfId="0" applyNumberFormat="1"/>
    <xf numFmtId="3" fontId="11" fillId="0" borderId="0" xfId="0" applyNumberFormat="1" applyFont="1"/>
    <xf numFmtId="175" fontId="3" fillId="0" borderId="0" xfId="3" applyNumberFormat="1" applyFill="1"/>
    <xf numFmtId="171" fontId="3" fillId="0" borderId="0" xfId="2" applyNumberFormat="1" applyFill="1" applyBorder="1"/>
    <xf numFmtId="171" fontId="3" fillId="0" borderId="7" xfId="2" applyNumberFormat="1" applyFill="1" applyBorder="1"/>
    <xf numFmtId="44" fontId="3" fillId="0" borderId="0" xfId="2" applyFill="1"/>
    <xf numFmtId="173" fontId="3" fillId="0" borderId="0" xfId="2" applyNumberFormat="1" applyFill="1"/>
    <xf numFmtId="171" fontId="3" fillId="0" borderId="0" xfId="2" applyNumberFormat="1" applyFill="1"/>
    <xf numFmtId="44" fontId="3" fillId="0" borderId="0" xfId="2" quotePrefix="1" applyFont="1" applyFill="1"/>
    <xf numFmtId="173" fontId="3" fillId="0" borderId="0" xfId="2" quotePrefix="1" applyNumberFormat="1" applyFont="1" applyFill="1"/>
    <xf numFmtId="3" fontId="3" fillId="0" borderId="0" xfId="2" quotePrefix="1" applyNumberFormat="1" applyFont="1" applyFill="1"/>
    <xf numFmtId="176" fontId="3" fillId="0" borderId="0" xfId="1" applyNumberFormat="1" applyFill="1"/>
    <xf numFmtId="171" fontId="3" fillId="0" borderId="0" xfId="2" applyNumberFormat="1"/>
    <xf numFmtId="9" fontId="3" fillId="0" borderId="0" xfId="3"/>
    <xf numFmtId="171" fontId="3" fillId="0" borderId="0" xfId="3" applyNumberFormat="1"/>
    <xf numFmtId="44" fontId="3" fillId="0" borderId="0" xfId="2"/>
    <xf numFmtId="10" fontId="13" fillId="0" borderId="0" xfId="3" applyNumberFormat="1" applyFont="1" applyFill="1"/>
    <xf numFmtId="169" fontId="13" fillId="0" borderId="0" xfId="0" applyNumberFormat="1" applyFont="1"/>
    <xf numFmtId="9" fontId="5" fillId="0" borderId="0" xfId="0" applyNumberFormat="1" applyFont="1" applyAlignment="1">
      <alignment horizontal="center"/>
    </xf>
    <xf numFmtId="9" fontId="13" fillId="0" borderId="0" xfId="3" quotePrefix="1" applyFont="1" applyFill="1" applyAlignment="1">
      <alignment horizontal="center"/>
    </xf>
    <xf numFmtId="3" fontId="13" fillId="0" borderId="0" xfId="0" applyNumberFormat="1" applyFont="1" applyAlignment="1">
      <alignment horizontal="right"/>
    </xf>
    <xf numFmtId="178" fontId="4" fillId="0" borderId="0" xfId="1" applyNumberFormat="1" applyFont="1"/>
    <xf numFmtId="44" fontId="3" fillId="0" borderId="0" xfId="2" applyFont="1" applyFill="1" applyAlignment="1">
      <alignment horizontal="center"/>
    </xf>
    <xf numFmtId="3" fontId="4" fillId="0" borderId="0" xfId="0" applyNumberFormat="1" applyFont="1" applyAlignment="1">
      <alignment horizontal="right"/>
    </xf>
    <xf numFmtId="180" fontId="13" fillId="0" borderId="0" xfId="0" applyNumberFormat="1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78" fontId="6" fillId="0" borderId="0" xfId="1" applyNumberFormat="1" applyFont="1"/>
    <xf numFmtId="9" fontId="29" fillId="0" borderId="0" xfId="3" applyFont="1" applyFill="1"/>
    <xf numFmtId="17" fontId="13" fillId="0" borderId="0" xfId="0" applyNumberFormat="1" applyFont="1"/>
    <xf numFmtId="17" fontId="29" fillId="0" borderId="0" xfId="0" applyNumberFormat="1" applyFont="1"/>
    <xf numFmtId="9" fontId="22" fillId="0" borderId="0" xfId="3" quotePrefix="1" applyFont="1" applyFill="1"/>
    <xf numFmtId="0" fontId="6" fillId="0" borderId="0" xfId="0" applyFont="1" applyAlignment="1">
      <alignment horizontal="center"/>
    </xf>
    <xf numFmtId="0" fontId="22" fillId="0" borderId="0" xfId="0" applyFont="1"/>
    <xf numFmtId="179" fontId="6" fillId="0" borderId="0" xfId="1" applyNumberFormat="1" applyFont="1"/>
    <xf numFmtId="9" fontId="4" fillId="0" borderId="11" xfId="3" applyFont="1" applyFill="1" applyBorder="1"/>
    <xf numFmtId="9" fontId="4" fillId="0" borderId="12" xfId="3" applyFont="1" applyFill="1" applyBorder="1"/>
    <xf numFmtId="9" fontId="4" fillId="0" borderId="0" xfId="3" applyFont="1" applyFill="1"/>
    <xf numFmtId="175" fontId="6" fillId="0" borderId="0" xfId="3" applyNumberFormat="1" applyFont="1" applyFill="1" applyBorder="1"/>
    <xf numFmtId="0" fontId="35" fillId="0" borderId="0" xfId="0" applyFont="1" applyAlignment="1">
      <alignment horizontal="center" wrapText="1"/>
    </xf>
    <xf numFmtId="17" fontId="0" fillId="0" borderId="9" xfId="0" applyNumberFormat="1" applyBorder="1"/>
    <xf numFmtId="3" fontId="6" fillId="0" borderId="15" xfId="0" applyNumberFormat="1" applyFont="1" applyBorder="1"/>
    <xf numFmtId="3" fontId="13" fillId="0" borderId="15" xfId="0" applyNumberFormat="1" applyFont="1" applyBorder="1"/>
    <xf numFmtId="3" fontId="13" fillId="0" borderId="10" xfId="0" applyNumberFormat="1" applyFont="1" applyBorder="1"/>
    <xf numFmtId="17" fontId="0" fillId="0" borderId="11" xfId="0" applyNumberFormat="1" applyBorder="1"/>
    <xf numFmtId="3" fontId="13" fillId="0" borderId="13" xfId="0" applyNumberFormat="1" applyFont="1" applyBorder="1"/>
    <xf numFmtId="17" fontId="0" fillId="0" borderId="12" xfId="0" applyNumberFormat="1" applyBorder="1"/>
    <xf numFmtId="3" fontId="6" fillId="0" borderId="16" xfId="0" applyNumberFormat="1" applyFont="1" applyBorder="1"/>
    <xf numFmtId="3" fontId="13" fillId="0" borderId="16" xfId="0" applyNumberFormat="1" applyFont="1" applyBorder="1"/>
    <xf numFmtId="3" fontId="13" fillId="0" borderId="14" xfId="0" applyNumberFormat="1" applyFont="1" applyBorder="1"/>
    <xf numFmtId="3" fontId="13" fillId="0" borderId="17" xfId="0" applyNumberFormat="1" applyFont="1" applyBorder="1"/>
    <xf numFmtId="3" fontId="13" fillId="0" borderId="18" xfId="0" applyNumberFormat="1" applyFont="1" applyBorder="1"/>
    <xf numFmtId="3" fontId="13" fillId="0" borderId="19" xfId="0" applyNumberFormat="1" applyFont="1" applyBorder="1"/>
    <xf numFmtId="3" fontId="27" fillId="0" borderId="0" xfId="0" applyNumberFormat="1" applyFont="1"/>
    <xf numFmtId="3" fontId="0" fillId="0" borderId="2" xfId="0" applyNumberFormat="1" applyBorder="1"/>
    <xf numFmtId="3" fontId="36" fillId="0" borderId="0" xfId="0" applyNumberFormat="1" applyFont="1"/>
    <xf numFmtId="3" fontId="19" fillId="2" borderId="0" xfId="0" applyNumberFormat="1" applyFont="1" applyFill="1"/>
    <xf numFmtId="9" fontId="6" fillId="0" borderId="0" xfId="3" quotePrefix="1" applyFont="1" applyFill="1" applyBorder="1" applyAlignment="1">
      <alignment horizontal="center"/>
    </xf>
    <xf numFmtId="10" fontId="6" fillId="0" borderId="0" xfId="3" quotePrefix="1" applyNumberFormat="1" applyFont="1" applyFill="1" applyBorder="1" applyAlignment="1">
      <alignment horizontal="center"/>
    </xf>
    <xf numFmtId="10" fontId="13" fillId="0" borderId="0" xfId="3" applyNumberFormat="1" applyFont="1" applyFill="1" applyBorder="1"/>
    <xf numFmtId="175" fontId="6" fillId="0" borderId="15" xfId="3" applyNumberFormat="1" applyFont="1" applyFill="1" applyBorder="1"/>
    <xf numFmtId="175" fontId="6" fillId="0" borderId="16" xfId="3" applyNumberFormat="1" applyFont="1" applyFill="1" applyBorder="1"/>
    <xf numFmtId="9" fontId="6" fillId="0" borderId="15" xfId="3" quotePrefix="1" applyFont="1" applyFill="1" applyBorder="1" applyAlignment="1">
      <alignment horizontal="center"/>
    </xf>
    <xf numFmtId="10" fontId="6" fillId="0" borderId="15" xfId="3" quotePrefix="1" applyNumberFormat="1" applyFont="1" applyFill="1" applyBorder="1" applyAlignment="1">
      <alignment horizontal="center"/>
    </xf>
    <xf numFmtId="10" fontId="13" fillId="0" borderId="15" xfId="3" applyNumberFormat="1" applyFont="1" applyFill="1" applyBorder="1"/>
    <xf numFmtId="9" fontId="13" fillId="0" borderId="10" xfId="3" quotePrefix="1" applyFont="1" applyFill="1" applyBorder="1" applyAlignment="1">
      <alignment horizontal="center"/>
    </xf>
    <xf numFmtId="9" fontId="13" fillId="0" borderId="13" xfId="3" quotePrefix="1" applyFont="1" applyFill="1" applyBorder="1" applyAlignment="1">
      <alignment horizontal="center"/>
    </xf>
    <xf numFmtId="9" fontId="6" fillId="0" borderId="16" xfId="3" quotePrefix="1" applyFont="1" applyFill="1" applyBorder="1" applyAlignment="1">
      <alignment horizontal="center"/>
    </xf>
    <xf numFmtId="10" fontId="6" fillId="0" borderId="16" xfId="3" quotePrefix="1" applyNumberFormat="1" applyFont="1" applyFill="1" applyBorder="1" applyAlignment="1">
      <alignment horizontal="center"/>
    </xf>
    <xf numFmtId="10" fontId="13" fillId="0" borderId="16" xfId="3" applyNumberFormat="1" applyFont="1" applyFill="1" applyBorder="1"/>
    <xf numFmtId="9" fontId="13" fillId="0" borderId="14" xfId="3" quotePrefix="1" applyFont="1" applyFill="1" applyBorder="1" applyAlignment="1">
      <alignment horizontal="center"/>
    </xf>
    <xf numFmtId="167" fontId="0" fillId="0" borderId="0" xfId="0" applyNumberFormat="1"/>
    <xf numFmtId="180" fontId="6" fillId="0" borderId="15" xfId="0" applyNumberFormat="1" applyFont="1" applyBorder="1"/>
    <xf numFmtId="180" fontId="13" fillId="0" borderId="15" xfId="0" applyNumberFormat="1" applyFont="1" applyBorder="1"/>
    <xf numFmtId="180" fontId="13" fillId="0" borderId="10" xfId="0" applyNumberFormat="1" applyFont="1" applyBorder="1"/>
    <xf numFmtId="180" fontId="13" fillId="0" borderId="13" xfId="0" applyNumberFormat="1" applyFont="1" applyBorder="1"/>
    <xf numFmtId="180" fontId="6" fillId="0" borderId="16" xfId="0" applyNumberFormat="1" applyFont="1" applyBorder="1"/>
    <xf numFmtId="180" fontId="13" fillId="0" borderId="16" xfId="0" applyNumberFormat="1" applyFont="1" applyBorder="1"/>
    <xf numFmtId="180" fontId="13" fillId="0" borderId="14" xfId="0" applyNumberFormat="1" applyFont="1" applyBorder="1"/>
    <xf numFmtId="10" fontId="13" fillId="0" borderId="10" xfId="3" applyNumberFormat="1" applyFont="1" applyFill="1" applyBorder="1"/>
    <xf numFmtId="10" fontId="13" fillId="0" borderId="13" xfId="3" applyNumberFormat="1" applyFont="1" applyFill="1" applyBorder="1"/>
    <xf numFmtId="10" fontId="13" fillId="0" borderId="14" xfId="3" applyNumberFormat="1" applyFont="1" applyFill="1" applyBorder="1"/>
    <xf numFmtId="0" fontId="37" fillId="0" borderId="0" xfId="0" applyFont="1"/>
    <xf numFmtId="44" fontId="3" fillId="0" borderId="0" xfId="2" applyFont="1" applyFill="1"/>
    <xf numFmtId="0" fontId="0" fillId="3" borderId="0" xfId="0" applyFill="1"/>
    <xf numFmtId="0" fontId="0" fillId="3" borderId="0" xfId="0" applyFill="1" applyAlignment="1">
      <alignment horizontal="center"/>
    </xf>
    <xf numFmtId="44" fontId="3" fillId="3" borderId="0" xfId="2" applyFill="1"/>
    <xf numFmtId="0" fontId="5" fillId="3" borderId="0" xfId="0" applyFont="1" applyFill="1" applyAlignment="1">
      <alignment horizontal="center"/>
    </xf>
    <xf numFmtId="178" fontId="5" fillId="3" borderId="0" xfId="1" applyNumberFormat="1" applyFont="1" applyFill="1"/>
    <xf numFmtId="10" fontId="0" fillId="0" borderId="0" xfId="3" applyNumberFormat="1" applyFont="1" applyFill="1"/>
    <xf numFmtId="0" fontId="14" fillId="0" borderId="0" xfId="0" applyFont="1"/>
    <xf numFmtId="178" fontId="5" fillId="0" borderId="0" xfId="1" applyNumberFormat="1" applyFont="1" applyFill="1"/>
    <xf numFmtId="9" fontId="3" fillId="0" borderId="0" xfId="3" quotePrefix="1" applyFont="1" applyFill="1"/>
    <xf numFmtId="182" fontId="0" fillId="0" borderId="0" xfId="3" applyNumberFormat="1" applyFont="1" applyFill="1"/>
    <xf numFmtId="0" fontId="8" fillId="0" borderId="0" xfId="0" quotePrefix="1" applyFont="1" applyAlignment="1">
      <alignment horizontal="center"/>
    </xf>
    <xf numFmtId="44" fontId="0" fillId="0" borderId="0" xfId="2" applyFont="1" applyFill="1"/>
    <xf numFmtId="169" fontId="0" fillId="0" borderId="0" xfId="3" applyNumberFormat="1" applyFont="1" applyFill="1"/>
    <xf numFmtId="166" fontId="0" fillId="0" borderId="0" xfId="0" applyNumberFormat="1" applyAlignment="1">
      <alignment horizontal="right"/>
    </xf>
    <xf numFmtId="168" fontId="0" fillId="0" borderId="0" xfId="3" applyNumberFormat="1" applyFont="1" applyFill="1"/>
    <xf numFmtId="168" fontId="0" fillId="0" borderId="0" xfId="3" quotePrefix="1" applyNumberFormat="1" applyFont="1" applyFill="1"/>
    <xf numFmtId="9" fontId="4" fillId="0" borderId="13" xfId="3" applyFont="1" applyFill="1" applyBorder="1"/>
    <xf numFmtId="9" fontId="4" fillId="0" borderId="14" xfId="3" applyFont="1" applyFill="1" applyBorder="1"/>
    <xf numFmtId="0" fontId="32" fillId="0" borderId="0" xfId="0" applyFont="1"/>
    <xf numFmtId="0" fontId="0" fillId="3" borderId="0" xfId="0" applyFill="1" applyAlignment="1">
      <alignment horizontal="left"/>
    </xf>
    <xf numFmtId="44" fontId="3" fillId="3" borderId="0" xfId="2" quotePrefix="1" applyFont="1" applyFill="1" applyAlignment="1">
      <alignment horizontal="left"/>
    </xf>
    <xf numFmtId="183" fontId="6" fillId="0" borderId="0" xfId="0" applyNumberFormat="1" applyFont="1"/>
    <xf numFmtId="183" fontId="0" fillId="0" borderId="0" xfId="0" applyNumberFormat="1"/>
    <xf numFmtId="2" fontId="0" fillId="0" borderId="0" xfId="0" applyNumberFormat="1"/>
    <xf numFmtId="176" fontId="4" fillId="0" borderId="0" xfId="1" applyNumberFormat="1" applyFont="1" applyFill="1" applyAlignment="1">
      <alignment horizontal="center"/>
    </xf>
    <xf numFmtId="176" fontId="5" fillId="0" borderId="0" xfId="1" applyNumberFormat="1" applyFont="1" applyFill="1" applyAlignment="1">
      <alignment horizontal="center"/>
    </xf>
    <xf numFmtId="176" fontId="5" fillId="0" borderId="0" xfId="1" applyNumberFormat="1" applyFont="1" applyFill="1"/>
    <xf numFmtId="0" fontId="22" fillId="0" borderId="0" xfId="0" applyFont="1" applyAlignment="1">
      <alignment horizontal="left"/>
    </xf>
    <xf numFmtId="176" fontId="11" fillId="0" borderId="0" xfId="1" applyNumberFormat="1" applyFont="1" applyFill="1"/>
    <xf numFmtId="175" fontId="0" fillId="0" borderId="0" xfId="3" applyNumberFormat="1" applyFont="1" applyFill="1"/>
    <xf numFmtId="14" fontId="0" fillId="0" borderId="0" xfId="0" applyNumberFormat="1"/>
    <xf numFmtId="10" fontId="40" fillId="0" borderId="0" xfId="3" applyNumberFormat="1" applyFont="1" applyFill="1" applyAlignment="1">
      <alignment horizontal="center"/>
    </xf>
    <xf numFmtId="9" fontId="23" fillId="4" borderId="0" xfId="3" applyFont="1" applyFill="1"/>
    <xf numFmtId="3" fontId="19" fillId="4" borderId="0" xfId="0" applyNumberFormat="1" applyFont="1" applyFill="1"/>
    <xf numFmtId="3" fontId="24" fillId="4" borderId="0" xfId="0" applyNumberFormat="1" applyFont="1" applyFill="1"/>
    <xf numFmtId="3" fontId="31" fillId="4" borderId="0" xfId="0" applyNumberFormat="1" applyFont="1" applyFill="1"/>
    <xf numFmtId="3" fontId="25" fillId="5" borderId="0" xfId="0" applyNumberFormat="1" applyFont="1" applyFill="1"/>
    <xf numFmtId="9" fontId="28" fillId="5" borderId="0" xfId="3" applyFont="1" applyFill="1" applyAlignment="1">
      <alignment horizontal="right"/>
    </xf>
    <xf numFmtId="0" fontId="5" fillId="0" borderId="0" xfId="0" applyFont="1" applyAlignment="1">
      <alignment horizontal="left"/>
    </xf>
    <xf numFmtId="3" fontId="41" fillId="0" borderId="0" xfId="0" applyNumberFormat="1" applyFont="1"/>
    <xf numFmtId="0" fontId="41" fillId="0" borderId="0" xfId="0" applyFont="1"/>
    <xf numFmtId="3" fontId="24" fillId="4" borderId="0" xfId="0" applyNumberFormat="1" applyFont="1" applyFill="1" applyAlignment="1">
      <alignment horizontal="center"/>
    </xf>
    <xf numFmtId="3" fontId="4" fillId="5" borderId="0" xfId="0" applyNumberFormat="1" applyFont="1" applyFill="1"/>
    <xf numFmtId="1" fontId="40" fillId="0" borderId="0" xfId="3" applyNumberFormat="1" applyFont="1" applyFill="1" applyAlignment="1">
      <alignment horizontal="center"/>
    </xf>
    <xf numFmtId="165" fontId="0" fillId="0" borderId="0" xfId="0" applyNumberFormat="1"/>
    <xf numFmtId="3" fontId="26" fillId="5" borderId="0" xfId="0" applyNumberFormat="1" applyFont="1" applyFill="1"/>
    <xf numFmtId="17" fontId="44" fillId="0" borderId="0" xfId="0" applyNumberFormat="1" applyFont="1"/>
    <xf numFmtId="3" fontId="45" fillId="4" borderId="0" xfId="0" applyNumberFormat="1" applyFont="1" applyFill="1"/>
    <xf numFmtId="3" fontId="38" fillId="4" borderId="0" xfId="0" applyNumberFormat="1" applyFont="1" applyFill="1"/>
    <xf numFmtId="3" fontId="42" fillId="4" borderId="0" xfId="0" applyNumberFormat="1" applyFont="1" applyFill="1"/>
    <xf numFmtId="3" fontId="44" fillId="0" borderId="0" xfId="0" applyNumberFormat="1" applyFont="1"/>
    <xf numFmtId="176" fontId="44" fillId="0" borderId="0" xfId="1" applyNumberFormat="1" applyFont="1" applyFill="1"/>
    <xf numFmtId="44" fontId="13" fillId="0" borderId="13" xfId="2" applyFont="1" applyFill="1" applyBorder="1"/>
    <xf numFmtId="10" fontId="13" fillId="0" borderId="13" xfId="3" applyNumberFormat="1" applyFont="1" applyBorder="1"/>
    <xf numFmtId="10" fontId="13" fillId="0" borderId="18" xfId="3" applyNumberFormat="1" applyFont="1" applyBorder="1"/>
    <xf numFmtId="9" fontId="3" fillId="0" borderId="0" xfId="3" applyFont="1" applyAlignment="1">
      <alignment horizontal="left"/>
    </xf>
    <xf numFmtId="9" fontId="11" fillId="0" borderId="0" xfId="3" applyFont="1" applyAlignment="1">
      <alignment horizontal="left"/>
    </xf>
    <xf numFmtId="185" fontId="3" fillId="0" borderId="18" xfId="2" applyNumberFormat="1" applyBorder="1"/>
    <xf numFmtId="185" fontId="15" fillId="0" borderId="18" xfId="2" applyNumberFormat="1" applyFont="1" applyBorder="1"/>
    <xf numFmtId="0" fontId="3" fillId="0" borderId="0" xfId="0" applyFont="1"/>
    <xf numFmtId="3" fontId="3" fillId="0" borderId="0" xfId="0" applyNumberFormat="1" applyFont="1"/>
    <xf numFmtId="171" fontId="3" fillId="0" borderId="0" xfId="2" quotePrefix="1" applyNumberFormat="1" applyFont="1" applyFill="1"/>
    <xf numFmtId="0" fontId="3" fillId="0" borderId="0" xfId="4"/>
    <xf numFmtId="22" fontId="3" fillId="0" borderId="0" xfId="4" applyNumberFormat="1"/>
    <xf numFmtId="22" fontId="5" fillId="0" borderId="0" xfId="4" applyNumberFormat="1" applyFont="1" applyAlignment="1">
      <alignment horizontal="center"/>
    </xf>
    <xf numFmtId="0" fontId="3" fillId="0" borderId="0" xfId="4" quotePrefix="1"/>
    <xf numFmtId="22" fontId="5" fillId="0" borderId="20" xfId="4" applyNumberFormat="1" applyFont="1" applyBorder="1" applyAlignment="1">
      <alignment horizontal="center" wrapText="1"/>
    </xf>
    <xf numFmtId="0" fontId="5" fillId="0" borderId="0" xfId="4" applyFont="1"/>
    <xf numFmtId="0" fontId="3" fillId="0" borderId="20" xfId="4" applyBorder="1" applyAlignment="1">
      <alignment horizontal="center" wrapText="1"/>
    </xf>
    <xf numFmtId="0" fontId="3" fillId="0" borderId="21" xfId="4" applyBorder="1" applyAlignment="1">
      <alignment horizontal="center" wrapText="1"/>
    </xf>
    <xf numFmtId="0" fontId="3" fillId="0" borderId="17" xfId="4" quotePrefix="1" applyBorder="1" applyAlignment="1">
      <alignment horizontal="center"/>
    </xf>
    <xf numFmtId="0" fontId="3" fillId="0" borderId="0" xfId="4" applyAlignment="1">
      <alignment horizontal="left"/>
    </xf>
    <xf numFmtId="7" fontId="3" fillId="0" borderId="18" xfId="2" applyNumberFormat="1" applyFont="1" applyFill="1" applyBorder="1"/>
    <xf numFmtId="44" fontId="3" fillId="0" borderId="0" xfId="4" applyNumberFormat="1"/>
    <xf numFmtId="0" fontId="11" fillId="0" borderId="0" xfId="4" applyFont="1" applyAlignment="1">
      <alignment horizontal="left"/>
    </xf>
    <xf numFmtId="1" fontId="3" fillId="0" borderId="18" xfId="3" applyNumberFormat="1" applyFont="1" applyFill="1" applyBorder="1"/>
    <xf numFmtId="10" fontId="13" fillId="0" borderId="13" xfId="4" applyNumberFormat="1" applyFont="1" applyBorder="1"/>
    <xf numFmtId="0" fontId="13" fillId="0" borderId="18" xfId="4" applyFont="1" applyBorder="1"/>
    <xf numFmtId="0" fontId="13" fillId="0" borderId="13" xfId="4" applyFont="1" applyBorder="1"/>
    <xf numFmtId="167" fontId="3" fillId="0" borderId="18" xfId="4" applyNumberFormat="1" applyBorder="1"/>
    <xf numFmtId="167" fontId="13" fillId="0" borderId="13" xfId="4" applyNumberFormat="1" applyFont="1" applyBorder="1"/>
    <xf numFmtId="167" fontId="13" fillId="0" borderId="18" xfId="4" applyNumberFormat="1" applyFont="1" applyBorder="1"/>
    <xf numFmtId="0" fontId="3" fillId="0" borderId="18" xfId="4" applyBorder="1"/>
    <xf numFmtId="0" fontId="3" fillId="0" borderId="13" xfId="4" applyBorder="1"/>
    <xf numFmtId="0" fontId="11" fillId="0" borderId="0" xfId="4" applyFont="1" applyAlignment="1">
      <alignment horizontal="left" wrapText="1"/>
    </xf>
    <xf numFmtId="3" fontId="3" fillId="0" borderId="18" xfId="4" applyNumberFormat="1" applyBorder="1"/>
    <xf numFmtId="0" fontId="7" fillId="0" borderId="0" xfId="4" applyFont="1" applyAlignment="1">
      <alignment horizontal="left"/>
    </xf>
    <xf numFmtId="185" fontId="3" fillId="0" borderId="19" xfId="4" applyNumberFormat="1" applyBorder="1"/>
    <xf numFmtId="185" fontId="3" fillId="0" borderId="14" xfId="4" applyNumberFormat="1" applyBorder="1"/>
    <xf numFmtId="185" fontId="3" fillId="0" borderId="0" xfId="4" applyNumberFormat="1"/>
    <xf numFmtId="186" fontId="3" fillId="0" borderId="0" xfId="4" applyNumberFormat="1"/>
    <xf numFmtId="0" fontId="3" fillId="0" borderId="0" xfId="0" applyFont="1" applyAlignment="1">
      <alignment horizontal="right"/>
    </xf>
    <xf numFmtId="0" fontId="3" fillId="0" borderId="0" xfId="4" applyAlignment="1">
      <alignment horizontal="right"/>
    </xf>
    <xf numFmtId="9" fontId="0" fillId="0" borderId="0" xfId="3" applyFont="1" applyFill="1"/>
    <xf numFmtId="167" fontId="4" fillId="0" borderId="0" xfId="2" quotePrefix="1" applyNumberFormat="1" applyFont="1" applyFill="1" applyBorder="1"/>
    <xf numFmtId="44" fontId="4" fillId="0" borderId="0" xfId="2" quotePrefix="1" applyFont="1" applyFill="1" applyBorder="1"/>
    <xf numFmtId="176" fontId="3" fillId="0" borderId="0" xfId="1" applyNumberFormat="1"/>
    <xf numFmtId="188" fontId="0" fillId="0" borderId="0" xfId="1" applyNumberFormat="1" applyFont="1" applyFill="1"/>
    <xf numFmtId="176" fontId="0" fillId="0" borderId="0" xfId="1" applyNumberFormat="1" applyFont="1" applyFill="1"/>
    <xf numFmtId="10" fontId="5" fillId="0" borderId="0" xfId="3" applyNumberFormat="1" applyFont="1" applyFill="1"/>
    <xf numFmtId="0" fontId="3" fillId="0" borderId="13" xfId="4" quotePrefix="1" applyBorder="1" applyAlignment="1">
      <alignment horizontal="center"/>
    </xf>
    <xf numFmtId="167" fontId="5" fillId="0" borderId="0" xfId="0" applyNumberFormat="1" applyFont="1"/>
    <xf numFmtId="0" fontId="3" fillId="0" borderId="0" xfId="4" applyAlignment="1">
      <alignment vertical="top"/>
    </xf>
    <xf numFmtId="0" fontId="5" fillId="0" borderId="0" xfId="4" applyFont="1" applyAlignment="1">
      <alignment vertical="top" wrapText="1"/>
    </xf>
    <xf numFmtId="186" fontId="3" fillId="0" borderId="0" xfId="4" applyNumberFormat="1" applyAlignment="1">
      <alignment vertical="top" wrapText="1"/>
    </xf>
    <xf numFmtId="0" fontId="3" fillId="0" borderId="0" xfId="4" quotePrefix="1" applyAlignment="1">
      <alignment horizontal="left" vertical="top"/>
    </xf>
    <xf numFmtId="44" fontId="46" fillId="0" borderId="0" xfId="2" quotePrefix="1" applyFont="1" applyFill="1"/>
    <xf numFmtId="8" fontId="3" fillId="0" borderId="0" xfId="2" applyNumberFormat="1" applyFont="1" applyFill="1"/>
    <xf numFmtId="0" fontId="46" fillId="0" borderId="0" xfId="0" applyFont="1"/>
    <xf numFmtId="8" fontId="46" fillId="0" borderId="0" xfId="0" applyNumberFormat="1" applyFont="1"/>
    <xf numFmtId="186" fontId="53" fillId="0" borderId="0" xfId="0" applyNumberFormat="1" applyFont="1"/>
    <xf numFmtId="176" fontId="46" fillId="0" borderId="0" xfId="1" applyNumberFormat="1" applyFont="1" applyFill="1" applyBorder="1"/>
    <xf numFmtId="0" fontId="3" fillId="0" borderId="0" xfId="0" applyFont="1" applyAlignment="1">
      <alignment horizontal="left"/>
    </xf>
    <xf numFmtId="175" fontId="0" fillId="0" borderId="0" xfId="3" applyNumberFormat="1" applyFont="1" applyFill="1" applyBorder="1"/>
    <xf numFmtId="9" fontId="0" fillId="0" borderId="0" xfId="3" applyFont="1" applyFill="1" applyBorder="1"/>
    <xf numFmtId="10" fontId="0" fillId="0" borderId="0" xfId="3" applyNumberFormat="1" applyFont="1" applyFill="1" applyBorder="1"/>
    <xf numFmtId="175" fontId="46" fillId="0" borderId="0" xfId="3" applyNumberFormat="1" applyFont="1" applyFill="1" applyBorder="1"/>
    <xf numFmtId="175" fontId="5" fillId="0" borderId="0" xfId="3" applyNumberFormat="1" applyFont="1" applyFill="1" applyBorder="1" applyAlignment="1" applyProtection="1">
      <alignment horizontal="right"/>
    </xf>
    <xf numFmtId="44" fontId="0" fillId="0" borderId="0" xfId="2" applyFont="1" applyFill="1" applyBorder="1"/>
    <xf numFmtId="175" fontId="5" fillId="0" borderId="0" xfId="3" applyNumberFormat="1" applyFont="1" applyFill="1" applyBorder="1"/>
    <xf numFmtId="0" fontId="46" fillId="0" borderId="0" xfId="0" quotePrefix="1" applyFont="1" applyAlignment="1">
      <alignment wrapText="1"/>
    </xf>
    <xf numFmtId="186" fontId="5" fillId="0" borderId="0" xfId="2" applyNumberFormat="1" applyFont="1" applyFill="1"/>
    <xf numFmtId="43" fontId="3" fillId="0" borderId="0" xfId="1" applyFont="1" applyFill="1" applyAlignment="1">
      <alignment horizontal="left"/>
    </xf>
    <xf numFmtId="17" fontId="6" fillId="0" borderId="0" xfId="0" applyNumberFormat="1" applyFont="1"/>
    <xf numFmtId="4" fontId="6" fillId="0" borderId="15" xfId="0" applyNumberFormat="1" applyFont="1" applyBorder="1"/>
    <xf numFmtId="4" fontId="6" fillId="0" borderId="16" xfId="0" applyNumberFormat="1" applyFont="1" applyBorder="1"/>
    <xf numFmtId="189" fontId="13" fillId="0" borderId="0" xfId="0" applyNumberFormat="1" applyFont="1"/>
    <xf numFmtId="8" fontId="46" fillId="0" borderId="0" xfId="0" applyNumberFormat="1" applyFont="1" applyAlignment="1">
      <alignment horizontal="right"/>
    </xf>
    <xf numFmtId="186" fontId="53" fillId="0" borderId="0" xfId="0" applyNumberFormat="1" applyFont="1" applyAlignment="1">
      <alignment horizontal="right"/>
    </xf>
    <xf numFmtId="8" fontId="6" fillId="0" borderId="0" xfId="2" applyNumberFormat="1" applyFont="1" applyFill="1" applyAlignment="1">
      <alignment horizontal="right"/>
    </xf>
    <xf numFmtId="17" fontId="44" fillId="0" borderId="9" xfId="0" applyNumberFormat="1" applyFont="1" applyBorder="1"/>
    <xf numFmtId="3" fontId="19" fillId="4" borderId="15" xfId="0" applyNumberFormat="1" applyFont="1" applyFill="1" applyBorder="1"/>
    <xf numFmtId="3" fontId="24" fillId="4" borderId="15" xfId="0" applyNumberFormat="1" applyFont="1" applyFill="1" applyBorder="1"/>
    <xf numFmtId="3" fontId="0" fillId="0" borderId="15" xfId="0" applyNumberFormat="1" applyBorder="1"/>
    <xf numFmtId="3" fontId="25" fillId="5" borderId="15" xfId="0" applyNumberFormat="1" applyFont="1" applyFill="1" applyBorder="1"/>
    <xf numFmtId="0" fontId="0" fillId="0" borderId="15" xfId="0" applyBorder="1"/>
    <xf numFmtId="3" fontId="4" fillId="5" borderId="15" xfId="0" applyNumberFormat="1" applyFont="1" applyFill="1" applyBorder="1"/>
    <xf numFmtId="0" fontId="6" fillId="0" borderId="15" xfId="0" applyFont="1" applyBorder="1"/>
    <xf numFmtId="17" fontId="44" fillId="0" borderId="11" xfId="0" applyNumberFormat="1" applyFont="1" applyBorder="1"/>
    <xf numFmtId="17" fontId="44" fillId="0" borderId="12" xfId="0" applyNumberFormat="1" applyFont="1" applyBorder="1"/>
    <xf numFmtId="3" fontId="19" fillId="4" borderId="16" xfId="0" applyNumberFormat="1" applyFont="1" applyFill="1" applyBorder="1"/>
    <xf numFmtId="3" fontId="24" fillId="4" borderId="16" xfId="0" applyNumberFormat="1" applyFont="1" applyFill="1" applyBorder="1"/>
    <xf numFmtId="3" fontId="0" fillId="0" borderId="16" xfId="0" applyNumberFormat="1" applyBorder="1"/>
    <xf numFmtId="3" fontId="25" fillId="5" borderId="16" xfId="0" applyNumberFormat="1" applyFont="1" applyFill="1" applyBorder="1"/>
    <xf numFmtId="0" fontId="6" fillId="0" borderId="16" xfId="0" quotePrefix="1" applyFont="1" applyBorder="1"/>
    <xf numFmtId="3" fontId="4" fillId="5" borderId="16" xfId="0" applyNumberFormat="1" applyFont="1" applyFill="1" applyBorder="1"/>
    <xf numFmtId="0" fontId="0" fillId="0" borderId="16" xfId="0" applyBorder="1"/>
    <xf numFmtId="0" fontId="6" fillId="0" borderId="16" xfId="0" applyFont="1" applyBorder="1"/>
    <xf numFmtId="0" fontId="46" fillId="0" borderId="0" xfId="4" applyFont="1"/>
    <xf numFmtId="0" fontId="5" fillId="0" borderId="0" xfId="4" applyFont="1" applyAlignment="1">
      <alignment horizontal="center" wrapText="1"/>
    </xf>
    <xf numFmtId="0" fontId="3" fillId="0" borderId="0" xfId="4" applyAlignment="1">
      <alignment horizontal="center" wrapText="1"/>
    </xf>
    <xf numFmtId="0" fontId="47" fillId="0" borderId="0" xfId="4" applyFont="1" applyAlignment="1">
      <alignment horizontal="center" wrapText="1"/>
    </xf>
    <xf numFmtId="0" fontId="5" fillId="0" borderId="0" xfId="4" applyFont="1" applyAlignment="1">
      <alignment wrapText="1"/>
    </xf>
    <xf numFmtId="0" fontId="5" fillId="0" borderId="0" xfId="4" applyFont="1" applyAlignment="1">
      <alignment vertical="top"/>
    </xf>
    <xf numFmtId="0" fontId="3" fillId="0" borderId="0" xfId="4" applyAlignment="1">
      <alignment horizontal="left" vertical="top"/>
    </xf>
    <xf numFmtId="0" fontId="3" fillId="0" borderId="0" xfId="4" applyAlignment="1">
      <alignment vertical="center"/>
    </xf>
    <xf numFmtId="0" fontId="5" fillId="0" borderId="0" xfId="4" applyFont="1" applyAlignment="1">
      <alignment vertical="center" wrapText="1"/>
    </xf>
    <xf numFmtId="7" fontId="11" fillId="0" borderId="18" xfId="2" applyNumberFormat="1" applyFont="1" applyFill="1" applyBorder="1"/>
    <xf numFmtId="9" fontId="0" fillId="0" borderId="0" xfId="3" applyFont="1" applyFill="1" applyAlignment="1">
      <alignment horizontal="right"/>
    </xf>
    <xf numFmtId="9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75" fontId="0" fillId="0" borderId="0" xfId="3" applyNumberFormat="1" applyFont="1"/>
    <xf numFmtId="8" fontId="3" fillId="0" borderId="0" xfId="4" applyNumberFormat="1"/>
    <xf numFmtId="22" fontId="7" fillId="0" borderId="21" xfId="4" applyNumberFormat="1" applyFont="1" applyBorder="1" applyAlignment="1">
      <alignment horizontal="center" wrapText="1"/>
    </xf>
    <xf numFmtId="186" fontId="53" fillId="6" borderId="18" xfId="4" applyNumberFormat="1" applyFont="1" applyFill="1" applyBorder="1"/>
    <xf numFmtId="10" fontId="46" fillId="0" borderId="0" xfId="3" quotePrefix="1" applyNumberFormat="1" applyFont="1" applyFill="1" applyAlignment="1">
      <alignment horizontal="right"/>
    </xf>
    <xf numFmtId="10" fontId="46" fillId="0" borderId="0" xfId="3" applyNumberFormat="1" applyFont="1" applyFill="1"/>
    <xf numFmtId="10" fontId="46" fillId="0" borderId="15" xfId="3" quotePrefix="1" applyNumberFormat="1" applyFont="1" applyFill="1" applyBorder="1" applyAlignment="1">
      <alignment horizontal="right"/>
    </xf>
    <xf numFmtId="9" fontId="13" fillId="0" borderId="15" xfId="3" quotePrefix="1" applyFont="1" applyFill="1" applyBorder="1" applyAlignment="1">
      <alignment horizontal="center"/>
    </xf>
    <xf numFmtId="10" fontId="46" fillId="0" borderId="15" xfId="3" applyNumberFormat="1" applyFont="1" applyFill="1" applyBorder="1"/>
    <xf numFmtId="10" fontId="46" fillId="0" borderId="0" xfId="3" quotePrefix="1" applyNumberFormat="1" applyFont="1" applyFill="1" applyBorder="1" applyAlignment="1">
      <alignment horizontal="right"/>
    </xf>
    <xf numFmtId="9" fontId="13" fillId="0" borderId="0" xfId="3" quotePrefix="1" applyFont="1" applyFill="1" applyBorder="1" applyAlignment="1">
      <alignment horizontal="center"/>
    </xf>
    <xf numFmtId="10" fontId="46" fillId="0" borderId="0" xfId="3" applyNumberFormat="1" applyFont="1" applyFill="1" applyBorder="1"/>
    <xf numFmtId="10" fontId="46" fillId="0" borderId="16" xfId="3" quotePrefix="1" applyNumberFormat="1" applyFont="1" applyFill="1" applyBorder="1" applyAlignment="1">
      <alignment horizontal="right"/>
    </xf>
    <xf numFmtId="9" fontId="13" fillId="0" borderId="16" xfId="3" quotePrefix="1" applyFont="1" applyFill="1" applyBorder="1" applyAlignment="1">
      <alignment horizontal="center"/>
    </xf>
    <xf numFmtId="10" fontId="46" fillId="0" borderId="16" xfId="3" applyNumberFormat="1" applyFont="1" applyFill="1" applyBorder="1"/>
    <xf numFmtId="3" fontId="46" fillId="5" borderId="0" xfId="0" applyNumberFormat="1" applyFont="1" applyFill="1"/>
    <xf numFmtId="3" fontId="46" fillId="5" borderId="15" xfId="0" applyNumberFormat="1" applyFont="1" applyFill="1" applyBorder="1"/>
    <xf numFmtId="3" fontId="46" fillId="5" borderId="16" xfId="0" applyNumberFormat="1" applyFont="1" applyFill="1" applyBorder="1"/>
    <xf numFmtId="0" fontId="5" fillId="0" borderId="0" xfId="4" applyFont="1" applyAlignment="1">
      <alignment vertical="center"/>
    </xf>
    <xf numFmtId="0" fontId="14" fillId="0" borderId="0" xfId="4" applyFont="1" applyAlignment="1">
      <alignment vertical="center" wrapText="1"/>
    </xf>
    <xf numFmtId="1" fontId="46" fillId="0" borderId="18" xfId="3" applyNumberFormat="1" applyFont="1" applyFill="1" applyBorder="1"/>
    <xf numFmtId="167" fontId="6" fillId="0" borderId="0" xfId="0" applyNumberFormat="1" applyFont="1"/>
    <xf numFmtId="180" fontId="4" fillId="0" borderId="0" xfId="0" applyNumberFormat="1" applyFont="1"/>
    <xf numFmtId="4" fontId="6" fillId="0" borderId="9" xfId="0" applyNumberFormat="1" applyFont="1" applyBorder="1"/>
    <xf numFmtId="167" fontId="6" fillId="0" borderId="15" xfId="0" applyNumberFormat="1" applyFont="1" applyBorder="1"/>
    <xf numFmtId="180" fontId="4" fillId="0" borderId="10" xfId="0" applyNumberFormat="1" applyFont="1" applyBorder="1"/>
    <xf numFmtId="4" fontId="6" fillId="0" borderId="11" xfId="0" applyNumberFormat="1" applyFont="1" applyBorder="1"/>
    <xf numFmtId="180" fontId="4" fillId="0" borderId="13" xfId="0" applyNumberFormat="1" applyFont="1" applyBorder="1"/>
    <xf numFmtId="9" fontId="13" fillId="0" borderId="13" xfId="3" applyFont="1" applyFill="1" applyBorder="1"/>
    <xf numFmtId="4" fontId="6" fillId="0" borderId="12" xfId="0" applyNumberFormat="1" applyFont="1" applyBorder="1"/>
    <xf numFmtId="167" fontId="0" fillId="0" borderId="16" xfId="0" applyNumberFormat="1" applyBorder="1"/>
    <xf numFmtId="180" fontId="4" fillId="0" borderId="14" xfId="0" applyNumberFormat="1" applyFont="1" applyBorder="1"/>
    <xf numFmtId="9" fontId="13" fillId="0" borderId="14" xfId="3" applyFont="1" applyFill="1" applyBorder="1"/>
    <xf numFmtId="171" fontId="3" fillId="0" borderId="0" xfId="0" applyNumberFormat="1" applyFont="1"/>
    <xf numFmtId="2" fontId="3" fillId="0" borderId="0" xfId="4" applyNumberFormat="1" applyAlignment="1">
      <alignment horizontal="right"/>
    </xf>
    <xf numFmtId="0" fontId="3" fillId="0" borderId="0" xfId="0" quotePrefix="1" applyFont="1" applyAlignment="1">
      <alignment vertical="top" wrapText="1"/>
    </xf>
    <xf numFmtId="0" fontId="3" fillId="0" borderId="0" xfId="0" quotePrefix="1" applyFont="1" applyAlignment="1">
      <alignment horizontal="left" vertical="top"/>
    </xf>
    <xf numFmtId="186" fontId="3" fillId="0" borderId="0" xfId="4" applyNumberFormat="1" applyAlignment="1">
      <alignment horizontal="center" vertical="top"/>
    </xf>
    <xf numFmtId="170" fontId="3" fillId="0" borderId="0" xfId="4" applyNumberFormat="1" applyAlignment="1">
      <alignment horizontal="center" vertical="top"/>
    </xf>
    <xf numFmtId="3" fontId="46" fillId="0" borderId="0" xfId="4" applyNumberFormat="1" applyFont="1" applyAlignment="1">
      <alignment horizontal="center" vertical="top"/>
    </xf>
    <xf numFmtId="185" fontId="3" fillId="0" borderId="0" xfId="4" applyNumberFormat="1" applyAlignment="1">
      <alignment horizontal="center" vertical="top"/>
    </xf>
    <xf numFmtId="3" fontId="3" fillId="0" borderId="0" xfId="4" applyNumberFormat="1" applyAlignment="1">
      <alignment horizontal="center" vertical="top"/>
    </xf>
    <xf numFmtId="175" fontId="3" fillId="0" borderId="0" xfId="3" applyNumberFormat="1" applyAlignment="1">
      <alignment horizontal="center" vertical="top"/>
    </xf>
    <xf numFmtId="37" fontId="3" fillId="0" borderId="0" xfId="1" applyNumberFormat="1" applyAlignment="1">
      <alignment horizontal="center" vertical="top"/>
    </xf>
    <xf numFmtId="186" fontId="3" fillId="0" borderId="0" xfId="4" applyNumberFormat="1" applyAlignment="1">
      <alignment horizontal="center" vertical="top" wrapText="1"/>
    </xf>
    <xf numFmtId="0" fontId="3" fillId="0" borderId="0" xfId="4" quotePrefix="1" applyAlignment="1">
      <alignment vertical="top" wrapText="1"/>
    </xf>
    <xf numFmtId="9" fontId="55" fillId="0" borderId="0" xfId="3" applyFont="1" applyFill="1" applyBorder="1"/>
    <xf numFmtId="5" fontId="3" fillId="0" borderId="0" xfId="4" applyNumberFormat="1"/>
    <xf numFmtId="0" fontId="53" fillId="0" borderId="0" xfId="4" applyFont="1"/>
    <xf numFmtId="0" fontId="3" fillId="0" borderId="0" xfId="4" applyAlignment="1">
      <alignment vertical="top" wrapText="1"/>
    </xf>
    <xf numFmtId="0" fontId="52" fillId="0" borderId="0" xfId="0" applyFont="1"/>
    <xf numFmtId="7" fontId="3" fillId="0" borderId="18" xfId="4" applyNumberFormat="1" applyBorder="1"/>
    <xf numFmtId="9" fontId="87" fillId="0" borderId="0" xfId="3" applyFont="1" applyFill="1" applyAlignment="1">
      <alignment horizontal="right"/>
    </xf>
    <xf numFmtId="165" fontId="3" fillId="0" borderId="0" xfId="4" applyNumberFormat="1"/>
    <xf numFmtId="7" fontId="11" fillId="6" borderId="18" xfId="2" applyNumberFormat="1" applyFont="1" applyFill="1" applyBorder="1"/>
    <xf numFmtId="10" fontId="5" fillId="0" borderId="0" xfId="3" applyNumberFormat="1" applyFont="1" applyFill="1" applyBorder="1"/>
    <xf numFmtId="10" fontId="6" fillId="0" borderId="0" xfId="3" applyNumberFormat="1" applyFont="1" applyFill="1"/>
    <xf numFmtId="10" fontId="6" fillId="0" borderId="15" xfId="3" applyNumberFormat="1" applyFont="1" applyFill="1" applyBorder="1"/>
    <xf numFmtId="10" fontId="6" fillId="0" borderId="10" xfId="3" applyNumberFormat="1" applyFont="1" applyFill="1" applyBorder="1"/>
    <xf numFmtId="10" fontId="6" fillId="0" borderId="0" xfId="3" applyNumberFormat="1" applyFont="1" applyFill="1" applyBorder="1"/>
    <xf numFmtId="10" fontId="6" fillId="0" borderId="13" xfId="3" applyNumberFormat="1" applyFont="1" applyFill="1" applyBorder="1"/>
    <xf numFmtId="10" fontId="6" fillId="0" borderId="16" xfId="3" applyNumberFormat="1" applyFont="1" applyFill="1" applyBorder="1"/>
    <xf numFmtId="10" fontId="6" fillId="0" borderId="14" xfId="3" applyNumberFormat="1" applyFont="1" applyFill="1" applyBorder="1"/>
    <xf numFmtId="4" fontId="13" fillId="0" borderId="0" xfId="0" applyNumberFormat="1" applyFont="1"/>
    <xf numFmtId="4" fontId="13" fillId="0" borderId="15" xfId="0" applyNumberFormat="1" applyFont="1" applyBorder="1"/>
    <xf numFmtId="4" fontId="13" fillId="0" borderId="10" xfId="0" applyNumberFormat="1" applyFont="1" applyBorder="1"/>
    <xf numFmtId="4" fontId="13" fillId="0" borderId="13" xfId="0" applyNumberFormat="1" applyFont="1" applyBorder="1"/>
    <xf numFmtId="4" fontId="13" fillId="0" borderId="16" xfId="0" applyNumberFormat="1" applyFont="1" applyBorder="1"/>
    <xf numFmtId="4" fontId="13" fillId="0" borderId="14" xfId="0" applyNumberFormat="1" applyFont="1" applyBorder="1"/>
    <xf numFmtId="181" fontId="6" fillId="0" borderId="0" xfId="1" applyNumberFormat="1" applyFont="1" applyFill="1"/>
    <xf numFmtId="7" fontId="46" fillId="0" borderId="18" xfId="2" applyNumberFormat="1" applyFont="1" applyFill="1" applyBorder="1"/>
    <xf numFmtId="165" fontId="88" fillId="0" borderId="0" xfId="0" applyNumberFormat="1" applyFont="1"/>
    <xf numFmtId="1" fontId="46" fillId="0" borderId="0" xfId="4" applyNumberFormat="1" applyFont="1" applyAlignment="1">
      <alignment horizontal="center" vertical="top"/>
    </xf>
    <xf numFmtId="186" fontId="46" fillId="0" borderId="0" xfId="4" applyNumberFormat="1" applyFont="1" applyAlignment="1">
      <alignment horizontal="center" vertical="center"/>
    </xf>
    <xf numFmtId="186" fontId="53" fillId="0" borderId="0" xfId="4" applyNumberFormat="1" applyFont="1" applyAlignment="1">
      <alignment horizontal="center" vertical="center"/>
    </xf>
    <xf numFmtId="0" fontId="3" fillId="0" borderId="0" xfId="0" quotePrefix="1" applyFont="1" applyAlignment="1">
      <alignment vertical="center"/>
    </xf>
    <xf numFmtId="188" fontId="0" fillId="0" borderId="0" xfId="1" applyNumberFormat="1" applyFont="1"/>
    <xf numFmtId="0" fontId="3" fillId="0" borderId="0" xfId="0" applyFont="1" applyAlignment="1">
      <alignment horizontal="center" wrapText="1"/>
    </xf>
    <xf numFmtId="167" fontId="46" fillId="0" borderId="0" xfId="0" applyNumberFormat="1" applyFont="1"/>
    <xf numFmtId="166" fontId="46" fillId="0" borderId="0" xfId="0" applyNumberFormat="1" applyFont="1"/>
    <xf numFmtId="167" fontId="46" fillId="0" borderId="18" xfId="4" applyNumberFormat="1" applyFont="1" applyBorder="1"/>
    <xf numFmtId="188" fontId="46" fillId="0" borderId="0" xfId="1" applyNumberFormat="1" applyFont="1"/>
    <xf numFmtId="44" fontId="3" fillId="0" borderId="0" xfId="2" applyFont="1" applyFill="1" applyBorder="1"/>
    <xf numFmtId="44" fontId="4" fillId="0" borderId="0" xfId="2" applyFont="1" applyFill="1" applyBorder="1"/>
    <xf numFmtId="171" fontId="3" fillId="0" borderId="0" xfId="2" quotePrefix="1" applyNumberFormat="1" applyFont="1" applyFill="1" applyBorder="1"/>
    <xf numFmtId="171" fontId="4" fillId="0" borderId="0" xfId="2" quotePrefix="1" applyNumberFormat="1" applyFont="1" applyFill="1" applyBorder="1"/>
    <xf numFmtId="169" fontId="0" fillId="0" borderId="0" xfId="3" applyNumberFormat="1" applyFont="1" applyFill="1" applyBorder="1"/>
    <xf numFmtId="169" fontId="0" fillId="0" borderId="0" xfId="0" applyNumberFormat="1"/>
    <xf numFmtId="169" fontId="46" fillId="0" borderId="0" xfId="0" applyNumberFormat="1" applyFont="1"/>
    <xf numFmtId="169" fontId="22" fillId="0" borderId="0" xfId="0" applyNumberFormat="1" applyFont="1"/>
    <xf numFmtId="169" fontId="5" fillId="0" borderId="0" xfId="0" applyNumberFormat="1" applyFont="1"/>
    <xf numFmtId="10" fontId="46" fillId="0" borderId="0" xfId="0" applyNumberFormat="1" applyFont="1"/>
    <xf numFmtId="169" fontId="46" fillId="0" borderId="0" xfId="3" applyNumberFormat="1" applyFont="1" applyFill="1" applyBorder="1"/>
    <xf numFmtId="190" fontId="0" fillId="0" borderId="0" xfId="3" applyNumberFormat="1" applyFont="1" applyFill="1" applyBorder="1"/>
    <xf numFmtId="169" fontId="57" fillId="0" borderId="0" xfId="8" applyNumberFormat="1" applyFont="1" applyAlignment="1">
      <alignment vertical="center"/>
    </xf>
    <xf numFmtId="185" fontId="0" fillId="0" borderId="0" xfId="0" applyNumberFormat="1"/>
    <xf numFmtId="185" fontId="46" fillId="0" borderId="0" xfId="0" applyNumberFormat="1" applyFont="1"/>
    <xf numFmtId="2" fontId="48" fillId="0" borderId="0" xfId="0" applyNumberFormat="1" applyFont="1"/>
    <xf numFmtId="186" fontId="46" fillId="0" borderId="0" xfId="0" applyNumberFormat="1" applyFont="1"/>
    <xf numFmtId="0" fontId="50" fillId="0" borderId="0" xfId="0" applyFont="1"/>
    <xf numFmtId="185" fontId="0" fillId="0" borderId="0" xfId="0" applyNumberFormat="1" applyAlignment="1">
      <alignment horizontal="center"/>
    </xf>
    <xf numFmtId="0" fontId="55" fillId="0" borderId="0" xfId="0" applyFont="1"/>
    <xf numFmtId="0" fontId="48" fillId="0" borderId="0" xfId="0" applyFont="1" applyAlignment="1">
      <alignment horizontal="right"/>
    </xf>
    <xf numFmtId="3" fontId="48" fillId="0" borderId="0" xfId="0" applyNumberFormat="1" applyFont="1"/>
    <xf numFmtId="165" fontId="48" fillId="0" borderId="0" xfId="0" applyNumberFormat="1" applyFont="1"/>
    <xf numFmtId="0" fontId="48" fillId="0" borderId="0" xfId="0" applyFont="1"/>
    <xf numFmtId="186" fontId="0" fillId="0" borderId="0" xfId="0" applyNumberFormat="1"/>
    <xf numFmtId="180" fontId="46" fillId="0" borderId="0" xfId="0" applyNumberFormat="1" applyFont="1"/>
    <xf numFmtId="7" fontId="0" fillId="0" borderId="0" xfId="0" applyNumberFormat="1"/>
    <xf numFmtId="175" fontId="0" fillId="0" borderId="0" xfId="0" applyNumberFormat="1"/>
    <xf numFmtId="9" fontId="3" fillId="0" borderId="0" xfId="3" applyFont="1" applyFill="1" applyBorder="1"/>
    <xf numFmtId="9" fontId="0" fillId="0" borderId="0" xfId="2" applyNumberFormat="1" applyFont="1" applyFill="1" applyBorder="1"/>
    <xf numFmtId="174" fontId="4" fillId="0" borderId="0" xfId="2" quotePrefix="1" applyNumberFormat="1" applyFont="1" applyFill="1" applyBorder="1"/>
    <xf numFmtId="10" fontId="51" fillId="0" borderId="0" xfId="3" quotePrefix="1" applyNumberFormat="1" applyFont="1" applyFill="1" applyBorder="1"/>
    <xf numFmtId="44" fontId="51" fillId="0" borderId="0" xfId="2" quotePrefix="1" applyFont="1" applyFill="1" applyBorder="1"/>
    <xf numFmtId="5" fontId="0" fillId="0" borderId="0" xfId="2" applyNumberFormat="1" applyFont="1" applyFill="1" applyBorder="1"/>
    <xf numFmtId="185" fontId="5" fillId="0" borderId="0" xfId="0" applyNumberFormat="1" applyFont="1"/>
    <xf numFmtId="43" fontId="0" fillId="0" borderId="0" xfId="0" applyNumberFormat="1"/>
    <xf numFmtId="0" fontId="51" fillId="0" borderId="0" xfId="0" applyFont="1"/>
    <xf numFmtId="167" fontId="0" fillId="0" borderId="0" xfId="0" applyNumberFormat="1" applyAlignment="1">
      <alignment horizontal="right"/>
    </xf>
    <xf numFmtId="167" fontId="3" fillId="0" borderId="0" xfId="0" applyNumberFormat="1" applyFont="1"/>
    <xf numFmtId="44" fontId="0" fillId="0" borderId="0" xfId="2" quotePrefix="1" applyFont="1" applyFill="1" applyBorder="1"/>
    <xf numFmtId="177" fontId="4" fillId="0" borderId="0" xfId="0" applyNumberFormat="1" applyFont="1" applyAlignment="1">
      <alignment horizontal="right"/>
    </xf>
    <xf numFmtId="7" fontId="5" fillId="0" borderId="0" xfId="0" applyNumberFormat="1" applyFont="1"/>
    <xf numFmtId="187" fontId="0" fillId="0" borderId="0" xfId="0" applyNumberFormat="1"/>
    <xf numFmtId="187" fontId="49" fillId="0" borderId="0" xfId="0" applyNumberFormat="1" applyFont="1"/>
    <xf numFmtId="172" fontId="0" fillId="0" borderId="0" xfId="0" applyNumberFormat="1"/>
    <xf numFmtId="171" fontId="3" fillId="0" borderId="0" xfId="3" applyNumberFormat="1" applyFill="1"/>
    <xf numFmtId="17" fontId="0" fillId="0" borderId="0" xfId="0" applyNumberFormat="1" applyAlignment="1">
      <alignment horizontal="left"/>
    </xf>
    <xf numFmtId="3" fontId="46" fillId="0" borderId="0" xfId="0" applyNumberFormat="1" applyFont="1"/>
    <xf numFmtId="176" fontId="0" fillId="0" borderId="0" xfId="0" applyNumberFormat="1"/>
    <xf numFmtId="0" fontId="3" fillId="0" borderId="0" xfId="0" quotePrefix="1" applyFont="1"/>
    <xf numFmtId="0" fontId="4" fillId="0" borderId="0" xfId="0" quotePrefix="1" applyFont="1"/>
    <xf numFmtId="185" fontId="50" fillId="0" borderId="0" xfId="0" applyNumberFormat="1" applyFont="1"/>
    <xf numFmtId="173" fontId="0" fillId="0" borderId="0" xfId="2" quotePrefix="1" applyNumberFormat="1" applyFont="1" applyFill="1"/>
    <xf numFmtId="177" fontId="4" fillId="0" borderId="0" xfId="1" quotePrefix="1" applyNumberFormat="1" applyFont="1" applyFill="1"/>
    <xf numFmtId="177" fontId="5" fillId="0" borderId="0" xfId="1" quotePrefix="1" applyNumberFormat="1" applyFont="1" applyFill="1"/>
    <xf numFmtId="184" fontId="46" fillId="0" borderId="0" xfId="0" applyNumberFormat="1" applyFont="1"/>
    <xf numFmtId="177" fontId="3" fillId="0" borderId="0" xfId="1" quotePrefix="1" applyNumberFormat="1" applyFont="1" applyFill="1" applyBorder="1"/>
    <xf numFmtId="10" fontId="5" fillId="29" borderId="0" xfId="3" applyNumberFormat="1" applyFont="1" applyFill="1" applyAlignment="1">
      <alignment horizontal="right"/>
    </xf>
    <xf numFmtId="10" fontId="52" fillId="29" borderId="0" xfId="3" applyNumberFormat="1" applyFont="1" applyFill="1"/>
    <xf numFmtId="0" fontId="52" fillId="29" borderId="0" xfId="0" quotePrefix="1" applyFont="1" applyFill="1"/>
    <xf numFmtId="0" fontId="3" fillId="0" borderId="0" xfId="4" applyAlignment="1">
      <alignment horizontal="left" vertical="top" wrapText="1"/>
    </xf>
    <xf numFmtId="22" fontId="8" fillId="0" borderId="0" xfId="4" applyNumberFormat="1" applyFont="1" applyAlignment="1">
      <alignment horizontal="center"/>
    </xf>
    <xf numFmtId="0" fontId="3" fillId="0" borderId="11" xfId="4" applyBorder="1" applyAlignment="1">
      <alignment horizontal="left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6" fillId="0" borderId="0" xfId="4" applyFont="1" applyAlignment="1">
      <alignment horizontal="center"/>
    </xf>
    <xf numFmtId="0" fontId="3" fillId="0" borderId="0" xfId="4" quotePrefix="1" applyAlignment="1">
      <alignment horizontal="left" vertical="top" wrapText="1"/>
    </xf>
    <xf numFmtId="0" fontId="30" fillId="0" borderId="0" xfId="0" applyFont="1" applyAlignment="1">
      <alignment horizontal="center"/>
    </xf>
    <xf numFmtId="0" fontId="54" fillId="0" borderId="0" xfId="0" applyFont="1" applyAlignment="1">
      <alignment horizontal="center" wrapText="1"/>
    </xf>
    <xf numFmtId="22" fontId="30" fillId="0" borderId="0" xfId="4" applyNumberFormat="1" applyFont="1" applyAlignment="1">
      <alignment horizontal="center"/>
    </xf>
    <xf numFmtId="0" fontId="3" fillId="0" borderId="0" xfId="0" quotePrefix="1" applyFont="1" applyAlignment="1">
      <alignment horizontal="left" vertical="center" wrapText="1"/>
    </xf>
    <xf numFmtId="0" fontId="3" fillId="0" borderId="0" xfId="4" quotePrefix="1" applyFill="1" applyAlignment="1">
      <alignment vertical="top" wrapText="1"/>
    </xf>
    <xf numFmtId="0" fontId="3" fillId="0" borderId="0" xfId="0" quotePrefix="1" applyFont="1" applyFill="1" applyAlignment="1">
      <alignment horizontal="left" vertical="top"/>
    </xf>
    <xf numFmtId="22" fontId="30" fillId="0" borderId="0" xfId="4" applyNumberFormat="1" applyFont="1" applyFill="1" applyAlignment="1">
      <alignment horizontal="center"/>
    </xf>
  </cellXfs>
  <cellStyles count="106">
    <cellStyle name="20% - Accent1 2" xfId="54" xr:uid="{8F0795D9-E68A-47B8-B61F-9AEC43468A42}"/>
    <cellStyle name="20% - Accent1 3" xfId="9" xr:uid="{C904F50E-E946-466B-8BF7-B2BAFB549A3F}"/>
    <cellStyle name="20% - Accent2 2" xfId="55" xr:uid="{9F62E681-DE2B-4DA8-8CDA-4D5B92C8FD9B}"/>
    <cellStyle name="20% - Accent2 3" xfId="10" xr:uid="{6CAEB6EA-3AD1-43EF-B87F-AD6DCDA18324}"/>
    <cellStyle name="20% - Accent3 2" xfId="56" xr:uid="{EC0954BB-3106-4456-A30C-B99294984510}"/>
    <cellStyle name="20% - Accent3 3" xfId="11" xr:uid="{35A9A5C5-37C8-4E6B-8341-9843BC24A9E8}"/>
    <cellStyle name="20% - Accent4 2" xfId="57" xr:uid="{58B60918-25DB-4754-9016-6117A3FF2952}"/>
    <cellStyle name="20% - Accent4 3" xfId="12" xr:uid="{61D4FD99-222E-4BF6-8318-43E1D5C27218}"/>
    <cellStyle name="20% - Accent5 2" xfId="58" xr:uid="{9261E61F-FFDE-48B6-8953-0571A04DD536}"/>
    <cellStyle name="20% - Accent5 3" xfId="13" xr:uid="{C769499F-7DB5-49C3-90F5-5E93C8E54301}"/>
    <cellStyle name="20% - Accent6 2" xfId="59" xr:uid="{A2E41F61-075C-4F18-82FA-7553C6C1DB8F}"/>
    <cellStyle name="20% - Accent6 3" xfId="14" xr:uid="{766BCA98-1249-4813-B786-3318E7345E8B}"/>
    <cellStyle name="40% - Accent1 2" xfId="60" xr:uid="{D92C611C-3A0E-4BD0-B28D-A2D0F068909A}"/>
    <cellStyle name="40% - Accent1 3" xfId="15" xr:uid="{E188EB63-3FF2-43C0-A475-18413949B3F9}"/>
    <cellStyle name="40% - Accent2 2" xfId="61" xr:uid="{BC613E48-8373-4391-9E00-FA44138A7211}"/>
    <cellStyle name="40% - Accent2 3" xfId="16" xr:uid="{8071AD0E-4D45-4B43-902C-EA6E75ECC97D}"/>
    <cellStyle name="40% - Accent3 2" xfId="62" xr:uid="{B9FDBCDF-CB65-40D6-9A3A-3E55238F2BA5}"/>
    <cellStyle name="40% - Accent3 3" xfId="17" xr:uid="{C4EFAB97-294D-4A6D-AC6F-D023A2C4BF1F}"/>
    <cellStyle name="40% - Accent4 2" xfId="63" xr:uid="{1422D11F-FF8D-42EB-B74F-92774C02A449}"/>
    <cellStyle name="40% - Accent4 3" xfId="18" xr:uid="{BFC0DCDB-2DC3-4F74-B8DE-A6DA7B9B5B59}"/>
    <cellStyle name="40% - Accent5 2" xfId="64" xr:uid="{4FBE86DD-B650-4200-A21F-DF6EFCD96573}"/>
    <cellStyle name="40% - Accent5 3" xfId="19" xr:uid="{4519F4EA-913F-4E68-A563-DAAE957EB33C}"/>
    <cellStyle name="40% - Accent6 2" xfId="65" xr:uid="{F307FC42-6011-46B5-A7EF-9D0E622818AC}"/>
    <cellStyle name="40% - Accent6 3" xfId="20" xr:uid="{949A9BCE-1157-401A-A022-BF67D7B3B3A0}"/>
    <cellStyle name="60% - Accent1 2" xfId="66" xr:uid="{E793F3B9-BCA5-4584-90FF-18F4B480C77D}"/>
    <cellStyle name="60% - Accent1 3" xfId="21" xr:uid="{2BCF3D3C-1E59-4308-AAFE-9971C3C69CC6}"/>
    <cellStyle name="60% - Accent2 2" xfId="67" xr:uid="{21941C7E-EFF5-4155-A56F-924CB3C2F397}"/>
    <cellStyle name="60% - Accent2 3" xfId="22" xr:uid="{BA4D882A-1E4E-4AA2-953C-D9674449ADF0}"/>
    <cellStyle name="60% - Accent3 2" xfId="68" xr:uid="{77B17CB0-6C5A-47A6-B4EC-5F0D56AACB0D}"/>
    <cellStyle name="60% - Accent3 3" xfId="23" xr:uid="{7065D496-361D-45D8-ACB4-4E36FD29D822}"/>
    <cellStyle name="60% - Accent4 2" xfId="69" xr:uid="{23B933D5-4B88-4410-84D6-5D6A3041CFEE}"/>
    <cellStyle name="60% - Accent4 3" xfId="24" xr:uid="{D8484741-8121-4C34-9A3A-999AEE531277}"/>
    <cellStyle name="60% - Accent5 2" xfId="70" xr:uid="{C3661806-7D74-46AA-B8F2-D15B35CBAF19}"/>
    <cellStyle name="60% - Accent5 3" xfId="25" xr:uid="{DFA59DC7-A08B-41B2-BE5E-6681DB6817C6}"/>
    <cellStyle name="60% - Accent6 2" xfId="71" xr:uid="{DFC66B6F-D6F3-4A4E-8578-67A0F965DEB8}"/>
    <cellStyle name="60% - Accent6 3" xfId="26" xr:uid="{AC24A2CF-44C6-455E-931D-A2EE6F732679}"/>
    <cellStyle name="Accent1 2" xfId="72" xr:uid="{FAA8E0B1-3BC9-4803-8E87-66CCD5455BEC}"/>
    <cellStyle name="Accent1 3" xfId="27" xr:uid="{1F75CA6D-5331-45A1-9A6C-165DECA77AFF}"/>
    <cellStyle name="Accent2 2" xfId="73" xr:uid="{6118BA26-DA3E-42BF-B0AB-AD2150210B97}"/>
    <cellStyle name="Accent2 3" xfId="28" xr:uid="{9F62848E-67A4-4380-B668-6EAF92C40F61}"/>
    <cellStyle name="Accent3 2" xfId="74" xr:uid="{9533DB33-15E1-437A-AB12-E1ABB39E5AE7}"/>
    <cellStyle name="Accent3 3" xfId="29" xr:uid="{F6F05CEF-BF84-4ED2-9054-DEB372B02EFF}"/>
    <cellStyle name="Accent4 2" xfId="75" xr:uid="{A1650705-CA24-49A3-BF32-555B14B35257}"/>
    <cellStyle name="Accent4 3" xfId="30" xr:uid="{CAF28F8D-8666-4608-9BB3-AD0FC4EB56B7}"/>
    <cellStyle name="Accent5 2" xfId="76" xr:uid="{53AEEA2B-A1E0-4AA9-B327-81066228FFED}"/>
    <cellStyle name="Accent5 3" xfId="31" xr:uid="{EDADC05E-03C2-4616-938F-733BB2BDFDC7}"/>
    <cellStyle name="Accent6 2" xfId="77" xr:uid="{EB2531F7-396C-4E68-963E-5258640AE5BA}"/>
    <cellStyle name="Accent6 3" xfId="32" xr:uid="{0E0769B0-9FAD-4D57-A1E7-98884171A7CC}"/>
    <cellStyle name="Bad 2" xfId="78" xr:uid="{D70425BF-2B14-4EFF-8627-0D817DE7443D}"/>
    <cellStyle name="Bad 3" xfId="33" xr:uid="{C0FBF9CB-90F8-4A6E-B91F-B538A57785FF}"/>
    <cellStyle name="Calculation 2" xfId="79" xr:uid="{89DA89BF-7E50-416D-A4C2-2F876431B628}"/>
    <cellStyle name="Calculation 3" xfId="34" xr:uid="{54C82C00-34A5-4112-A737-DEE2518D8786}"/>
    <cellStyle name="Check Cell 2" xfId="80" xr:uid="{0173760A-5B8A-4A49-9082-36C8778F0741}"/>
    <cellStyle name="Check Cell 3" xfId="35" xr:uid="{BC544501-7709-4AF2-AA8F-0D4DF6C52A69}"/>
    <cellStyle name="Comma" xfId="1" builtinId="3"/>
    <cellStyle name="Comma 2" xfId="7" xr:uid="{E69C12F5-BA1A-4988-994F-6DED097B836C}"/>
    <cellStyle name="Comma 2 2" xfId="81" xr:uid="{03D26467-3686-4DBF-B4B9-D5A5C48C0985}"/>
    <cellStyle name="Comma 2 3" xfId="52" xr:uid="{614FAB9E-FF08-410E-B41A-BBD7A9695414}"/>
    <cellStyle name="Currency" xfId="2" builtinId="4"/>
    <cellStyle name="Currency 2" xfId="82" xr:uid="{66615651-455A-4DA1-B783-D58CDF897702}"/>
    <cellStyle name="Currency 2 2" xfId="83" xr:uid="{9E4F6016-D66D-49B1-A235-87F5464E2A36}"/>
    <cellStyle name="Explanatory Text 2" xfId="84" xr:uid="{231917A2-7784-4D17-AF4C-EF10247C1FC5}"/>
    <cellStyle name="Explanatory Text 3" xfId="36" xr:uid="{0A1D26D0-E1C3-4D84-8258-855F4FA72F48}"/>
    <cellStyle name="Good 2" xfId="85" xr:uid="{32C844DA-4B60-4FF0-8C9C-1B29727F5E8B}"/>
    <cellStyle name="Good 3" xfId="37" xr:uid="{FB49CF31-5E13-4D73-9957-84289E0AB488}"/>
    <cellStyle name="Heading 1 2" xfId="86" xr:uid="{24F564F5-347F-4A6D-8BF0-13FBF6211BC9}"/>
    <cellStyle name="Heading 1 3" xfId="38" xr:uid="{C9F2EDD7-E80B-4DC7-8686-61794FB89D01}"/>
    <cellStyle name="Heading 2 2" xfId="87" xr:uid="{364972E8-4B80-4615-AE49-16D83355F342}"/>
    <cellStyle name="Heading 2 3" xfId="39" xr:uid="{5F2D657D-8488-4230-BDEC-52DF45BA9759}"/>
    <cellStyle name="Heading 3 2" xfId="88" xr:uid="{9701F658-90C0-4973-A460-9E90DF24A297}"/>
    <cellStyle name="Heading 3 3" xfId="40" xr:uid="{C6D23C99-FC4E-4171-A2E7-C0A3FBD9FD6A}"/>
    <cellStyle name="Heading 4 2" xfId="89" xr:uid="{126B1189-4561-4EB9-A26A-2676AE6920B2}"/>
    <cellStyle name="Heading 4 3" xfId="41" xr:uid="{E3025DA2-F523-4E09-9D5E-E7002F9D2C07}"/>
    <cellStyle name="Input 2" xfId="90" xr:uid="{D8EBF4C9-0EE1-421D-A841-A12B7D800EF8}"/>
    <cellStyle name="Input 3" xfId="42" xr:uid="{7610F403-623F-46D3-BCF1-E16C7E0A4AEC}"/>
    <cellStyle name="Linked Cell 2" xfId="91" xr:uid="{AABEDC3B-37CD-4089-BFEF-24397323A89E}"/>
    <cellStyle name="Linked Cell 3" xfId="43" xr:uid="{F491665C-BC02-4859-B807-F221C40368DC}"/>
    <cellStyle name="Neutral 2" xfId="92" xr:uid="{E02D66C1-1C5B-41C0-8BD1-12C384872FAD}"/>
    <cellStyle name="Neutral 3" xfId="44" xr:uid="{5E962FED-F08C-4B76-89BB-133EA19A9EDB}"/>
    <cellStyle name="Normal" xfId="0" builtinId="0"/>
    <cellStyle name="Normal 2" xfId="4" xr:uid="{00000000-0005-0000-0000-000003000000}"/>
    <cellStyle name="Normal 2 2" xfId="93" xr:uid="{8AA38AC6-604C-4BBE-B523-AC73E42089A8}"/>
    <cellStyle name="Normal 2 3" xfId="94" xr:uid="{E2F3C769-F7A1-4C11-90E2-8E65E17EE42D}"/>
    <cellStyle name="Normal 2 4" xfId="8" xr:uid="{10C07421-F444-4C3C-9780-C2FC7B4CF7ED}"/>
    <cellStyle name="Normal 2 5" xfId="102" xr:uid="{84E41ABB-9960-4E09-A83F-E5D746126C29}"/>
    <cellStyle name="Normal 2 5 2" xfId="103" xr:uid="{46FA2591-99A8-49F6-83B6-1A51D92B1745}"/>
    <cellStyle name="Normal 2 5 2 2" xfId="104" xr:uid="{9721A841-B1D5-4A48-8E82-0C75C16EA32A}"/>
    <cellStyle name="Normal 2 5 2 2 2" xfId="105" xr:uid="{77EF22C5-B8CA-45E2-AA94-93D40040BB03}"/>
    <cellStyle name="Normal 2 6" xfId="50" xr:uid="{0295A433-859E-4CCF-830D-30D76DEB83B5}"/>
    <cellStyle name="Normal 3" xfId="5" xr:uid="{00000000-0005-0000-0000-000004000000}"/>
    <cellStyle name="Normal 3 2" xfId="51" xr:uid="{77AC8BAC-D97D-40EE-8622-EECD308EF558}"/>
    <cellStyle name="Normal 4" xfId="53" xr:uid="{E0B91427-9EF0-4AE4-9F53-234A88339E98}"/>
    <cellStyle name="Note 2" xfId="95" xr:uid="{AA0FA657-1B93-41FB-9D64-103500C726C9}"/>
    <cellStyle name="Note 3" xfId="96" xr:uid="{E0705A21-6086-4A92-9C79-4FA47B7BA658}"/>
    <cellStyle name="Note 4" xfId="45" xr:uid="{AFB10C42-0F82-46E8-9AEA-68D6425B698E}"/>
    <cellStyle name="Output 2" xfId="97" xr:uid="{5B09DDC3-24A0-4B43-9814-75C814E481BB}"/>
    <cellStyle name="Output 3" xfId="46" xr:uid="{7CE86AB1-5DB7-4E41-A58E-E3FBF02264B6}"/>
    <cellStyle name="Percent" xfId="3" builtinId="5"/>
    <cellStyle name="Percent 2" xfId="6" xr:uid="{00000000-0005-0000-0000-000006000000}"/>
    <cellStyle name="Percent 2 2" xfId="98" xr:uid="{1CBDE0F0-1062-4DB7-AD4F-F5B1BC55F6E4}"/>
    <cellStyle name="Title 2" xfId="99" xr:uid="{DA48E843-CA9B-4176-A102-26B286261221}"/>
    <cellStyle name="Title 3" xfId="47" xr:uid="{9C00A639-C103-4C66-8A67-74853B885618}"/>
    <cellStyle name="Total 2" xfId="100" xr:uid="{FF0AF91B-1AA9-4062-9FCF-A8AAB07B40C2}"/>
    <cellStyle name="Total 3" xfId="48" xr:uid="{0D5966B5-5913-4A25-9E04-7E54CA2FC405}"/>
    <cellStyle name="Warning Text 2" xfId="101" xr:uid="{EE9C5A84-0530-436E-8A7C-436169DDB331}"/>
    <cellStyle name="Warning Text 3" xfId="49" xr:uid="{127AD8C1-F2E3-4712-9AE3-226090B61E88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1DA4A636-26FE-4FC1-A61A-3D9642A05246}">
      <tableStyleElement type="wholeTable" dxfId="1"/>
      <tableStyleElement type="headerRow" dxfId="0"/>
    </tableStyle>
  </tableStyles>
  <colors>
    <mruColors>
      <color rgb="FF0000FF"/>
      <color rgb="FF33CC33"/>
      <color rgb="FF0066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AY347"/>
  <sheetViews>
    <sheetView tabSelected="1" view="pageBreakPreview" zoomScaleNormal="70" zoomScaleSheetLayoutView="100" workbookViewId="0"/>
  </sheetViews>
  <sheetFormatPr defaultColWidth="9.140625" defaultRowHeight="12.75" x14ac:dyDescent="0.2"/>
  <cols>
    <col min="1" max="1" width="16.140625" style="12" customWidth="1"/>
    <col min="2" max="2" width="27.85546875" customWidth="1"/>
    <col min="3" max="3" width="14.5703125" customWidth="1"/>
    <col min="4" max="4" width="12.5703125" customWidth="1"/>
    <col min="5" max="5" width="16.5703125" customWidth="1"/>
    <col min="6" max="6" width="16" customWidth="1"/>
    <col min="7" max="7" width="16.5703125" customWidth="1"/>
    <col min="8" max="8" width="15.42578125" customWidth="1"/>
    <col min="9" max="9" width="14.140625" customWidth="1"/>
    <col min="10" max="10" width="16.42578125" customWidth="1"/>
    <col min="11" max="11" width="12.5703125" customWidth="1"/>
    <col min="12" max="12" width="16.5703125" customWidth="1"/>
    <col min="13" max="13" width="21.85546875" hidden="1" customWidth="1"/>
    <col min="14" max="14" width="15.140625" hidden="1" customWidth="1"/>
    <col min="15" max="16" width="12.42578125" hidden="1" customWidth="1"/>
    <col min="17" max="17" width="13.5703125" hidden="1" customWidth="1"/>
    <col min="18" max="18" width="14.42578125" hidden="1" customWidth="1"/>
    <col min="19" max="19" width="14.85546875" hidden="1" customWidth="1"/>
    <col min="20" max="20" width="15.140625" hidden="1" customWidth="1"/>
    <col min="21" max="21" width="14.140625" hidden="1" customWidth="1"/>
    <col min="22" max="22" width="12.42578125" hidden="1" customWidth="1"/>
    <col min="23" max="23" width="13.42578125" hidden="1" customWidth="1"/>
    <col min="24" max="24" width="15.42578125" hidden="1" customWidth="1"/>
    <col min="25" max="25" width="10.5703125" hidden="1" customWidth="1"/>
    <col min="26" max="26" width="11.5703125" hidden="1" customWidth="1"/>
    <col min="27" max="27" width="12.5703125" hidden="1" customWidth="1"/>
    <col min="28" max="28" width="13.42578125" hidden="1" customWidth="1"/>
    <col min="29" max="29" width="11" hidden="1" customWidth="1"/>
    <col min="30" max="30" width="14.140625" hidden="1" customWidth="1"/>
    <col min="31" max="31" width="9.85546875" hidden="1" customWidth="1"/>
    <col min="32" max="32" width="9.140625" hidden="1" customWidth="1"/>
    <col min="33" max="33" width="12" hidden="1" customWidth="1"/>
    <col min="34" max="34" width="9.140625" hidden="1" customWidth="1"/>
    <col min="35" max="37" width="9.140625" customWidth="1"/>
    <col min="38" max="38" width="9.42578125" customWidth="1"/>
    <col min="39" max="46" width="9.140625" customWidth="1"/>
    <col min="47" max="48" width="10.85546875" customWidth="1"/>
    <col min="49" max="49" width="12.42578125" customWidth="1"/>
    <col min="50" max="50" width="10.85546875" customWidth="1"/>
    <col min="51" max="51" width="11.42578125" customWidth="1"/>
  </cols>
  <sheetData>
    <row r="1" spans="1:26" ht="15.75" x14ac:dyDescent="0.25">
      <c r="B1" s="504" t="s">
        <v>69</v>
      </c>
      <c r="C1" s="504"/>
      <c r="D1" s="504"/>
      <c r="E1" s="504"/>
      <c r="F1" s="504"/>
      <c r="G1" s="504"/>
      <c r="H1" s="504"/>
      <c r="I1" s="504"/>
      <c r="J1" s="504"/>
      <c r="K1" s="504"/>
      <c r="L1" s="504"/>
    </row>
    <row r="2" spans="1:26" ht="15.75" x14ac:dyDescent="0.25">
      <c r="B2" s="504" t="s">
        <v>187</v>
      </c>
      <c r="C2" s="504"/>
      <c r="D2" s="504"/>
      <c r="E2" s="504"/>
      <c r="F2" s="504"/>
      <c r="G2" s="504"/>
      <c r="H2" s="504"/>
      <c r="I2" s="504"/>
      <c r="J2" s="504"/>
      <c r="K2" s="504"/>
      <c r="L2" s="504"/>
    </row>
    <row r="3" spans="1:26" ht="15.75" x14ac:dyDescent="0.25">
      <c r="B3" s="504" t="str">
        <f>'BGS PTY25 Cost Alloc'!$B$3</f>
        <v>2027 BGS Auction Cost and Bid Factor Tables</v>
      </c>
      <c r="C3" s="504"/>
      <c r="D3" s="504"/>
      <c r="E3" s="504"/>
      <c r="F3" s="504"/>
      <c r="G3" s="504"/>
      <c r="H3" s="504"/>
      <c r="I3" s="504"/>
      <c r="J3" s="504"/>
      <c r="K3" s="504"/>
      <c r="L3" s="504"/>
    </row>
    <row r="4" spans="1:26" ht="15.75" x14ac:dyDescent="0.25"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</row>
    <row r="5" spans="1:26" ht="15.75" x14ac:dyDescent="0.25">
      <c r="B5" s="508" t="s">
        <v>355</v>
      </c>
      <c r="C5" s="508"/>
      <c r="D5" s="508"/>
      <c r="E5" s="508"/>
      <c r="F5" s="508"/>
      <c r="G5" s="508"/>
      <c r="H5" s="508"/>
      <c r="I5" s="508"/>
      <c r="J5" s="508"/>
      <c r="K5" s="508"/>
      <c r="L5" s="508"/>
    </row>
    <row r="6" spans="1:26" x14ac:dyDescent="0.2">
      <c r="L6" s="102" t="s">
        <v>251</v>
      </c>
    </row>
    <row r="8" spans="1:26" ht="15.75" x14ac:dyDescent="0.25">
      <c r="B8" s="13" t="s">
        <v>50</v>
      </c>
    </row>
    <row r="9" spans="1:26" x14ac:dyDescent="0.2">
      <c r="A9" s="14"/>
      <c r="B9" s="1" t="s">
        <v>45</v>
      </c>
    </row>
    <row r="10" spans="1:26" x14ac:dyDescent="0.2">
      <c r="E10" s="15" t="str">
        <f>'BGS PTY25 Cost Alloc'!$E$10</f>
        <v>Based on an average of 2023, 2024 and 2025 Load Information</v>
      </c>
    </row>
    <row r="11" spans="1:26" x14ac:dyDescent="0.2">
      <c r="A11" s="6" t="s">
        <v>30</v>
      </c>
      <c r="B11" s="16" t="s">
        <v>47</v>
      </c>
      <c r="C11" s="17"/>
      <c r="E11" s="15" t="s">
        <v>27</v>
      </c>
      <c r="N11" s="16"/>
      <c r="P11" s="18"/>
      <c r="Q11" s="16" t="s">
        <v>212</v>
      </c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25.5" x14ac:dyDescent="0.2">
      <c r="A12" s="7"/>
      <c r="C12" s="19"/>
      <c r="D12" s="19"/>
      <c r="E12" s="19" t="s">
        <v>24</v>
      </c>
      <c r="F12" s="19" t="s">
        <v>24</v>
      </c>
      <c r="G12" s="19" t="s">
        <v>24</v>
      </c>
      <c r="H12" s="19" t="s">
        <v>24</v>
      </c>
      <c r="I12" s="19" t="s">
        <v>56</v>
      </c>
      <c r="K12" s="19"/>
      <c r="L12" s="19"/>
      <c r="M12" s="19"/>
      <c r="N12" s="15"/>
      <c r="O12" s="19"/>
      <c r="P12" s="19"/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56</v>
      </c>
      <c r="W12" s="19"/>
      <c r="X12" s="19"/>
      <c r="Y12" s="19"/>
      <c r="Z12" s="19"/>
    </row>
    <row r="13" spans="1:26" x14ac:dyDescent="0.2">
      <c r="A13" s="7"/>
      <c r="B13" s="20" t="s">
        <v>190</v>
      </c>
      <c r="C13" s="21"/>
      <c r="D13" s="21"/>
      <c r="E13" s="2" t="s">
        <v>61</v>
      </c>
      <c r="F13" s="2" t="s">
        <v>62</v>
      </c>
      <c r="G13" s="2" t="s">
        <v>65</v>
      </c>
      <c r="H13" s="2" t="s">
        <v>54</v>
      </c>
      <c r="I13" s="2" t="s">
        <v>55</v>
      </c>
      <c r="J13" s="21"/>
      <c r="K13" s="21"/>
      <c r="L13" s="21"/>
      <c r="M13" s="21"/>
      <c r="N13" s="22"/>
      <c r="O13" s="2"/>
      <c r="P13" s="2"/>
      <c r="Q13" s="2" t="str">
        <f>+E13</f>
        <v>RT{1}</v>
      </c>
      <c r="R13" s="2" t="str">
        <f>+F13</f>
        <v>RS{2}</v>
      </c>
      <c r="S13" s="2" t="str">
        <f>+G13</f>
        <v>GS{3}</v>
      </c>
      <c r="T13" s="2" t="str">
        <f>+H13</f>
        <v>GST</v>
      </c>
      <c r="U13" s="2" t="str">
        <f>+I13</f>
        <v>OL/SL</v>
      </c>
      <c r="V13" s="2"/>
      <c r="W13" s="2"/>
      <c r="X13" s="2"/>
      <c r="Y13" s="2"/>
      <c r="Z13" s="2"/>
    </row>
    <row r="14" spans="1:26" x14ac:dyDescent="0.2">
      <c r="A14" s="7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x14ac:dyDescent="0.2">
      <c r="A15" s="7"/>
      <c r="B15" s="23" t="s">
        <v>1</v>
      </c>
      <c r="C15" s="24"/>
      <c r="D15" s="24"/>
      <c r="E15" s="130">
        <f>'BGS PTY25 Cost Alloc'!E15</f>
        <v>0.4788</v>
      </c>
      <c r="F15" s="130">
        <f>'BGS PTY25 Cost Alloc'!F15</f>
        <v>0.4914</v>
      </c>
      <c r="G15" s="130">
        <f>'BGS PTY25 Cost Alloc'!G15</f>
        <v>0.50690000000000002</v>
      </c>
      <c r="H15" s="130">
        <f>'BGS PTY25 Cost Alloc'!H15</f>
        <v>0.50780000000000003</v>
      </c>
      <c r="I15" s="130">
        <f>'BGS PTY25 Cost Alloc'!I15</f>
        <v>0.3115</v>
      </c>
      <c r="J15" s="24"/>
      <c r="K15" s="25"/>
      <c r="L15" s="25"/>
      <c r="M15" s="25"/>
      <c r="N15" s="26"/>
      <c r="O15" s="27"/>
      <c r="P15" s="27"/>
      <c r="Q15" s="27">
        <f t="shared" ref="Q15:U26" si="0">1-E15</f>
        <v>0.5212</v>
      </c>
      <c r="R15" s="27">
        <f t="shared" si="0"/>
        <v>0.50859999999999994</v>
      </c>
      <c r="S15" s="27">
        <f t="shared" si="0"/>
        <v>0.49309999999999998</v>
      </c>
      <c r="T15" s="27">
        <f t="shared" si="0"/>
        <v>0.49219999999999997</v>
      </c>
      <c r="U15" s="27">
        <f t="shared" si="0"/>
        <v>0.6885</v>
      </c>
      <c r="V15" s="27"/>
      <c r="W15" s="27"/>
      <c r="X15" s="27"/>
      <c r="Y15" s="27"/>
      <c r="Z15" s="27"/>
    </row>
    <row r="16" spans="1:26" x14ac:dyDescent="0.2">
      <c r="A16" s="7"/>
      <c r="B16" s="23" t="s">
        <v>2</v>
      </c>
      <c r="C16" s="24"/>
      <c r="D16" s="24"/>
      <c r="E16" s="130">
        <f>'BGS PTY25 Cost Alloc'!E16</f>
        <v>0.47770000000000001</v>
      </c>
      <c r="F16" s="130">
        <f>'BGS PTY25 Cost Alloc'!F16</f>
        <v>0.49440000000000001</v>
      </c>
      <c r="G16" s="130">
        <f>'BGS PTY25 Cost Alloc'!G16</f>
        <v>0.51080000000000003</v>
      </c>
      <c r="H16" s="130">
        <f>'BGS PTY25 Cost Alloc'!H16</f>
        <v>0.51249999999999996</v>
      </c>
      <c r="I16" s="130">
        <f>'BGS PTY25 Cost Alloc'!I16</f>
        <v>0.29399999999999998</v>
      </c>
      <c r="J16" s="24"/>
      <c r="K16" s="25"/>
      <c r="L16" s="25"/>
      <c r="M16" s="25"/>
      <c r="N16" s="26"/>
      <c r="O16" s="27"/>
      <c r="P16" s="27"/>
      <c r="Q16" s="27">
        <f t="shared" si="0"/>
        <v>0.52229999999999999</v>
      </c>
      <c r="R16" s="27">
        <f t="shared" si="0"/>
        <v>0.50560000000000005</v>
      </c>
      <c r="S16" s="27">
        <f t="shared" si="0"/>
        <v>0.48919999999999997</v>
      </c>
      <c r="T16" s="27">
        <f t="shared" si="0"/>
        <v>0.48750000000000004</v>
      </c>
      <c r="U16" s="27">
        <f t="shared" si="0"/>
        <v>0.70599999999999996</v>
      </c>
      <c r="V16" s="27"/>
      <c r="W16" s="27"/>
      <c r="X16" s="27"/>
      <c r="Y16" s="27"/>
      <c r="Z16" s="27"/>
    </row>
    <row r="17" spans="1:26" x14ac:dyDescent="0.2">
      <c r="A17" s="7"/>
      <c r="B17" s="23" t="s">
        <v>3</v>
      </c>
      <c r="C17" s="24"/>
      <c r="D17" s="24"/>
      <c r="E17" s="130">
        <f>'BGS PTY25 Cost Alloc'!E17</f>
        <v>0.48670000000000002</v>
      </c>
      <c r="F17" s="130">
        <f>'BGS PTY25 Cost Alloc'!F17</f>
        <v>0.50349999999999995</v>
      </c>
      <c r="G17" s="130">
        <f>'BGS PTY25 Cost Alloc'!G17</f>
        <v>0.51949999999999996</v>
      </c>
      <c r="H17" s="130">
        <f>'BGS PTY25 Cost Alloc'!H17</f>
        <v>0.50170000000000003</v>
      </c>
      <c r="I17" s="130">
        <f>'BGS PTY25 Cost Alloc'!I17</f>
        <v>0.28539999999999999</v>
      </c>
      <c r="J17" s="24"/>
      <c r="K17" s="25"/>
      <c r="L17" s="25"/>
      <c r="M17" s="25"/>
      <c r="N17" s="26"/>
      <c r="O17" s="27"/>
      <c r="P17" s="27"/>
      <c r="Q17" s="27">
        <f t="shared" si="0"/>
        <v>0.51329999999999998</v>
      </c>
      <c r="R17" s="27">
        <f t="shared" si="0"/>
        <v>0.49650000000000005</v>
      </c>
      <c r="S17" s="27">
        <f t="shared" si="0"/>
        <v>0.48050000000000004</v>
      </c>
      <c r="T17" s="27">
        <f t="shared" si="0"/>
        <v>0.49829999999999997</v>
      </c>
      <c r="U17" s="27">
        <f t="shared" si="0"/>
        <v>0.71460000000000001</v>
      </c>
      <c r="V17" s="27"/>
      <c r="W17" s="27"/>
      <c r="X17" s="27"/>
      <c r="Y17" s="27"/>
      <c r="Z17" s="27"/>
    </row>
    <row r="18" spans="1:26" x14ac:dyDescent="0.2">
      <c r="A18" s="7"/>
      <c r="B18" s="23" t="s">
        <v>4</v>
      </c>
      <c r="C18" s="24"/>
      <c r="D18" s="24"/>
      <c r="E18" s="130">
        <f>'BGS PTY25 Cost Alloc'!E18</f>
        <v>0.47789999999999999</v>
      </c>
      <c r="F18" s="130">
        <f>'BGS PTY25 Cost Alloc'!F18</f>
        <v>0.50029999999999997</v>
      </c>
      <c r="G18" s="130">
        <f>'BGS PTY25 Cost Alloc'!G18</f>
        <v>0.51390000000000002</v>
      </c>
      <c r="H18" s="130">
        <f>'BGS PTY25 Cost Alloc'!H18</f>
        <v>0.53129999999999999</v>
      </c>
      <c r="I18" s="130">
        <f>'BGS PTY25 Cost Alloc'!I18</f>
        <v>0.29039999999999999</v>
      </c>
      <c r="J18" s="24"/>
      <c r="K18" s="25"/>
      <c r="L18" s="25"/>
      <c r="M18" s="25"/>
      <c r="N18" s="26"/>
      <c r="O18" s="27"/>
      <c r="P18" s="27"/>
      <c r="Q18" s="27">
        <f t="shared" si="0"/>
        <v>0.52210000000000001</v>
      </c>
      <c r="R18" s="27">
        <f t="shared" si="0"/>
        <v>0.49970000000000003</v>
      </c>
      <c r="S18" s="27">
        <f t="shared" si="0"/>
        <v>0.48609999999999998</v>
      </c>
      <c r="T18" s="27">
        <f t="shared" si="0"/>
        <v>0.46870000000000001</v>
      </c>
      <c r="U18" s="27">
        <f t="shared" si="0"/>
        <v>0.70960000000000001</v>
      </c>
      <c r="V18" s="27"/>
      <c r="W18" s="27"/>
      <c r="X18" s="27"/>
      <c r="Y18" s="27"/>
      <c r="Z18" s="27"/>
    </row>
    <row r="19" spans="1:26" x14ac:dyDescent="0.2">
      <c r="A19" s="7"/>
      <c r="B19" s="23" t="s">
        <v>5</v>
      </c>
      <c r="C19" s="24"/>
      <c r="D19" s="24"/>
      <c r="E19" s="130">
        <f>'BGS PTY25 Cost Alloc'!E19</f>
        <v>0.47639999999999999</v>
      </c>
      <c r="F19" s="130">
        <f>'BGS PTY25 Cost Alloc'!F19</f>
        <v>0.49430000000000002</v>
      </c>
      <c r="G19" s="130">
        <f>'BGS PTY25 Cost Alloc'!G19</f>
        <v>0.5121</v>
      </c>
      <c r="H19" s="130">
        <f>'BGS PTY25 Cost Alloc'!H19</f>
        <v>0.50749999999999995</v>
      </c>
      <c r="I19" s="130">
        <f>'BGS PTY25 Cost Alloc'!I19</f>
        <v>0.2823</v>
      </c>
      <c r="J19" s="24"/>
      <c r="K19" s="25"/>
      <c r="L19" s="25"/>
      <c r="M19" s="25"/>
      <c r="N19" s="26"/>
      <c r="O19" s="27"/>
      <c r="P19" s="27"/>
      <c r="Q19" s="27">
        <f t="shared" si="0"/>
        <v>0.52360000000000007</v>
      </c>
      <c r="R19" s="27">
        <f t="shared" si="0"/>
        <v>0.50570000000000004</v>
      </c>
      <c r="S19" s="27">
        <f t="shared" si="0"/>
        <v>0.4879</v>
      </c>
      <c r="T19" s="27">
        <f t="shared" si="0"/>
        <v>0.49250000000000005</v>
      </c>
      <c r="U19" s="27">
        <f t="shared" si="0"/>
        <v>0.7177</v>
      </c>
      <c r="V19" s="27"/>
      <c r="W19" s="27"/>
      <c r="X19" s="27"/>
      <c r="Y19" s="27"/>
      <c r="Z19" s="27"/>
    </row>
    <row r="20" spans="1:26" x14ac:dyDescent="0.2">
      <c r="A20" s="7"/>
      <c r="B20" s="154" t="s">
        <v>6</v>
      </c>
      <c r="C20" s="174"/>
      <c r="D20" s="174"/>
      <c r="E20" s="178">
        <f>'BGS PTY25 Cost Alloc'!E20</f>
        <v>0.52349999999999997</v>
      </c>
      <c r="F20" s="178">
        <f>'BGS PTY25 Cost Alloc'!F20</f>
        <v>0.54020000000000001</v>
      </c>
      <c r="G20" s="178">
        <f>'BGS PTY25 Cost Alloc'!G20</f>
        <v>0.55489999999999995</v>
      </c>
      <c r="H20" s="178">
        <f>'BGS PTY25 Cost Alloc'!H20</f>
        <v>0.55279999999999996</v>
      </c>
      <c r="I20" s="193">
        <f>'BGS PTY25 Cost Alloc'!I20</f>
        <v>0.27329999999999999</v>
      </c>
      <c r="J20" s="24"/>
      <c r="K20" s="25"/>
      <c r="L20" s="25"/>
      <c r="M20" s="25"/>
      <c r="N20" s="26"/>
      <c r="O20" s="27"/>
      <c r="P20" s="27"/>
      <c r="Q20" s="27">
        <f t="shared" si="0"/>
        <v>0.47650000000000003</v>
      </c>
      <c r="R20" s="27">
        <f t="shared" si="0"/>
        <v>0.45979999999999999</v>
      </c>
      <c r="S20" s="27">
        <f t="shared" si="0"/>
        <v>0.44510000000000005</v>
      </c>
      <c r="T20" s="27">
        <f t="shared" si="0"/>
        <v>0.44720000000000004</v>
      </c>
      <c r="U20" s="27">
        <f t="shared" si="0"/>
        <v>0.72670000000000001</v>
      </c>
      <c r="V20" s="27"/>
      <c r="W20" s="27"/>
      <c r="X20" s="27"/>
      <c r="Y20" s="27"/>
      <c r="Z20" s="27"/>
    </row>
    <row r="21" spans="1:26" x14ac:dyDescent="0.2">
      <c r="A21" s="7"/>
      <c r="B21" s="158" t="s">
        <v>7</v>
      </c>
      <c r="C21" s="152"/>
      <c r="D21" s="152"/>
      <c r="E21" s="173">
        <f>'BGS PTY25 Cost Alloc'!E21</f>
        <v>0.52300000000000002</v>
      </c>
      <c r="F21" s="173">
        <f>'BGS PTY25 Cost Alloc'!F21</f>
        <v>0.53700000000000003</v>
      </c>
      <c r="G21" s="173">
        <f>'BGS PTY25 Cost Alloc'!G21</f>
        <v>0.55510000000000004</v>
      </c>
      <c r="H21" s="173">
        <f>'BGS PTY25 Cost Alloc'!H21</f>
        <v>0.56169999999999998</v>
      </c>
      <c r="I21" s="194">
        <f>'BGS PTY25 Cost Alloc'!I21</f>
        <v>0.26440000000000002</v>
      </c>
      <c r="J21" s="24"/>
      <c r="K21" s="25"/>
      <c r="L21" s="25"/>
      <c r="M21" s="25"/>
      <c r="N21" s="26"/>
      <c r="O21" s="27"/>
      <c r="P21" s="27"/>
      <c r="Q21" s="27">
        <f t="shared" si="0"/>
        <v>0.47699999999999998</v>
      </c>
      <c r="R21" s="27">
        <f t="shared" si="0"/>
        <v>0.46299999999999997</v>
      </c>
      <c r="S21" s="27">
        <f t="shared" si="0"/>
        <v>0.44489999999999996</v>
      </c>
      <c r="T21" s="27">
        <f t="shared" si="0"/>
        <v>0.43830000000000002</v>
      </c>
      <c r="U21" s="27">
        <f t="shared" si="0"/>
        <v>0.73560000000000003</v>
      </c>
      <c r="V21" s="27"/>
      <c r="W21" s="27"/>
      <c r="X21" s="27"/>
      <c r="Y21" s="27"/>
      <c r="Z21" s="27"/>
    </row>
    <row r="22" spans="1:26" x14ac:dyDescent="0.2">
      <c r="A22" s="7"/>
      <c r="B22" s="158" t="s">
        <v>8</v>
      </c>
      <c r="C22" s="152"/>
      <c r="D22" s="152"/>
      <c r="E22" s="173">
        <f>'BGS PTY25 Cost Alloc'!E22</f>
        <v>0.51600000000000001</v>
      </c>
      <c r="F22" s="173">
        <f>'BGS PTY25 Cost Alloc'!F22</f>
        <v>0.5292</v>
      </c>
      <c r="G22" s="173">
        <f>'BGS PTY25 Cost Alloc'!G22</f>
        <v>0.55649999999999999</v>
      </c>
      <c r="H22" s="173">
        <f>'BGS PTY25 Cost Alloc'!H22</f>
        <v>0.55489999999999995</v>
      </c>
      <c r="I22" s="194">
        <f>'BGS PTY25 Cost Alloc'!I22</f>
        <v>0.28260000000000002</v>
      </c>
      <c r="J22" s="24"/>
      <c r="K22" s="25"/>
      <c r="L22" s="25"/>
      <c r="M22" s="25"/>
      <c r="N22" s="26"/>
      <c r="O22" s="27"/>
      <c r="P22" s="27"/>
      <c r="Q22" s="27">
        <f t="shared" si="0"/>
        <v>0.48399999999999999</v>
      </c>
      <c r="R22" s="27">
        <f t="shared" si="0"/>
        <v>0.4708</v>
      </c>
      <c r="S22" s="27">
        <f t="shared" si="0"/>
        <v>0.44350000000000001</v>
      </c>
      <c r="T22" s="27">
        <f t="shared" si="0"/>
        <v>0.44510000000000005</v>
      </c>
      <c r="U22" s="27">
        <f t="shared" si="0"/>
        <v>0.71740000000000004</v>
      </c>
      <c r="V22" s="27"/>
      <c r="W22" s="27"/>
      <c r="X22" s="27"/>
      <c r="Y22" s="27"/>
      <c r="Z22" s="27"/>
    </row>
    <row r="23" spans="1:26" x14ac:dyDescent="0.2">
      <c r="A23" s="7"/>
      <c r="B23" s="160" t="s">
        <v>9</v>
      </c>
      <c r="C23" s="175"/>
      <c r="D23" s="175"/>
      <c r="E23" s="183">
        <f>'BGS PTY25 Cost Alloc'!E23</f>
        <v>0.47989999999999999</v>
      </c>
      <c r="F23" s="183">
        <f>'BGS PTY25 Cost Alloc'!F23</f>
        <v>0.49609999999999999</v>
      </c>
      <c r="G23" s="183">
        <f>'BGS PTY25 Cost Alloc'!G23</f>
        <v>0.53520000000000001</v>
      </c>
      <c r="H23" s="183">
        <f>'BGS PTY25 Cost Alloc'!H23</f>
        <v>0.55410000000000004</v>
      </c>
      <c r="I23" s="195">
        <f>'BGS PTY25 Cost Alloc'!I23</f>
        <v>0.28689999999999999</v>
      </c>
      <c r="J23" s="24"/>
      <c r="K23" s="25"/>
      <c r="L23" s="25"/>
      <c r="M23" s="25"/>
      <c r="N23" s="26"/>
      <c r="O23" s="27"/>
      <c r="P23" s="27"/>
      <c r="Q23" s="27">
        <f t="shared" si="0"/>
        <v>0.52010000000000001</v>
      </c>
      <c r="R23" s="27">
        <f t="shared" si="0"/>
        <v>0.50390000000000001</v>
      </c>
      <c r="S23" s="27">
        <f t="shared" si="0"/>
        <v>0.46479999999999999</v>
      </c>
      <c r="T23" s="27">
        <f t="shared" si="0"/>
        <v>0.44589999999999996</v>
      </c>
      <c r="U23" s="27">
        <f t="shared" si="0"/>
        <v>0.71310000000000007</v>
      </c>
      <c r="V23" s="27"/>
      <c r="W23" s="27"/>
      <c r="X23" s="27"/>
      <c r="Y23" s="27"/>
      <c r="Z23" s="27"/>
    </row>
    <row r="24" spans="1:26" x14ac:dyDescent="0.2">
      <c r="A24" s="7"/>
      <c r="B24" s="23" t="s">
        <v>10</v>
      </c>
      <c r="C24" s="24"/>
      <c r="D24" s="24"/>
      <c r="E24" s="130">
        <f>'BGS PTY25 Cost Alloc'!E24</f>
        <v>0.50490000000000002</v>
      </c>
      <c r="F24" s="130">
        <f>'BGS PTY25 Cost Alloc'!F24</f>
        <v>0.52500000000000002</v>
      </c>
      <c r="G24" s="130">
        <f>'BGS PTY25 Cost Alloc'!G24</f>
        <v>0.56369999999999998</v>
      </c>
      <c r="H24" s="130">
        <f>'BGS PTY25 Cost Alloc'!H24</f>
        <v>0.59209999999999996</v>
      </c>
      <c r="I24" s="130">
        <f>'BGS PTY25 Cost Alloc'!I24</f>
        <v>0.32419999999999999</v>
      </c>
      <c r="J24" s="24"/>
      <c r="K24" s="25"/>
      <c r="L24" s="25"/>
      <c r="M24" s="25"/>
      <c r="N24" s="26"/>
      <c r="O24" s="27"/>
      <c r="P24" s="27"/>
      <c r="Q24" s="27">
        <f t="shared" si="0"/>
        <v>0.49509999999999998</v>
      </c>
      <c r="R24" s="27">
        <f t="shared" si="0"/>
        <v>0.47499999999999998</v>
      </c>
      <c r="S24" s="27">
        <f t="shared" si="0"/>
        <v>0.43630000000000002</v>
      </c>
      <c r="T24" s="27">
        <f t="shared" si="0"/>
        <v>0.40790000000000004</v>
      </c>
      <c r="U24" s="27">
        <f t="shared" si="0"/>
        <v>0.67579999999999996</v>
      </c>
      <c r="V24" s="27"/>
      <c r="W24" s="27"/>
      <c r="X24" s="27"/>
      <c r="Y24" s="27"/>
      <c r="Z24" s="27"/>
    </row>
    <row r="25" spans="1:26" x14ac:dyDescent="0.2">
      <c r="A25" s="7"/>
      <c r="B25" s="23" t="s">
        <v>11</v>
      </c>
      <c r="C25" s="24"/>
      <c r="D25" s="24"/>
      <c r="E25" s="130">
        <f>'BGS PTY25 Cost Alloc'!E25</f>
        <v>0.45119999999999999</v>
      </c>
      <c r="F25" s="130">
        <f>'BGS PTY25 Cost Alloc'!F25</f>
        <v>0.47310000000000002</v>
      </c>
      <c r="G25" s="130">
        <f>'BGS PTY25 Cost Alloc'!G25</f>
        <v>0.51080000000000003</v>
      </c>
      <c r="H25" s="130">
        <f>'BGS PTY25 Cost Alloc'!H25</f>
        <v>0.52390000000000003</v>
      </c>
      <c r="I25" s="130">
        <f>'BGS PTY25 Cost Alloc'!I25</f>
        <v>0.29620000000000002</v>
      </c>
      <c r="J25" s="24"/>
      <c r="K25" s="25"/>
      <c r="L25" s="25"/>
      <c r="M25" s="25"/>
      <c r="N25" s="26"/>
      <c r="O25" s="27"/>
      <c r="P25" s="27"/>
      <c r="Q25" s="27">
        <f t="shared" si="0"/>
        <v>0.54879999999999995</v>
      </c>
      <c r="R25" s="27">
        <f t="shared" si="0"/>
        <v>0.52689999999999992</v>
      </c>
      <c r="S25" s="27">
        <f t="shared" si="0"/>
        <v>0.48919999999999997</v>
      </c>
      <c r="T25" s="27">
        <f t="shared" si="0"/>
        <v>0.47609999999999997</v>
      </c>
      <c r="U25" s="27">
        <f t="shared" si="0"/>
        <v>0.70379999999999998</v>
      </c>
      <c r="V25" s="27"/>
      <c r="W25" s="27"/>
      <c r="X25" s="27"/>
      <c r="Y25" s="27"/>
      <c r="Z25" s="27"/>
    </row>
    <row r="26" spans="1:26" x14ac:dyDescent="0.2">
      <c r="A26" s="7"/>
      <c r="B26" s="23" t="s">
        <v>12</v>
      </c>
      <c r="C26" s="24"/>
      <c r="D26" s="24"/>
      <c r="E26" s="130">
        <f>'BGS PTY25 Cost Alloc'!E26</f>
        <v>0.45829999999999999</v>
      </c>
      <c r="F26" s="130">
        <f>'BGS PTY25 Cost Alloc'!F26</f>
        <v>0.47839999999999999</v>
      </c>
      <c r="G26" s="130">
        <f>'BGS PTY25 Cost Alloc'!G26</f>
        <v>0.50939999999999996</v>
      </c>
      <c r="H26" s="130">
        <f>'BGS PTY25 Cost Alloc'!H26</f>
        <v>0.53669999999999995</v>
      </c>
      <c r="I26" s="130">
        <f>'BGS PTY25 Cost Alloc'!I26</f>
        <v>0.30499999999999999</v>
      </c>
      <c r="J26" s="24"/>
      <c r="K26" s="25"/>
      <c r="L26" s="25"/>
      <c r="M26" s="25"/>
      <c r="N26" s="26"/>
      <c r="O26" s="27"/>
      <c r="P26" s="27"/>
      <c r="Q26" s="27">
        <f t="shared" si="0"/>
        <v>0.54170000000000007</v>
      </c>
      <c r="R26" s="27">
        <f t="shared" si="0"/>
        <v>0.52160000000000006</v>
      </c>
      <c r="S26" s="27">
        <f t="shared" si="0"/>
        <v>0.49060000000000004</v>
      </c>
      <c r="T26" s="27">
        <f t="shared" si="0"/>
        <v>0.46330000000000005</v>
      </c>
      <c r="U26" s="27">
        <f t="shared" si="0"/>
        <v>0.69500000000000006</v>
      </c>
      <c r="V26" s="27"/>
      <c r="W26" s="27"/>
      <c r="X26" s="27"/>
      <c r="Y26" s="27"/>
      <c r="Z26" s="27"/>
    </row>
    <row r="27" spans="1:26" x14ac:dyDescent="0.2">
      <c r="A27" s="7"/>
      <c r="B27" s="23"/>
      <c r="C27" s="26"/>
      <c r="D27" s="26"/>
      <c r="E27" s="26"/>
      <c r="F27" s="26"/>
      <c r="G27" s="26"/>
      <c r="H27" s="26"/>
      <c r="I27" s="28"/>
      <c r="J27" s="28"/>
      <c r="K27" s="26"/>
      <c r="L27" s="26"/>
      <c r="M27" s="26"/>
      <c r="N27" s="26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x14ac:dyDescent="0.2">
      <c r="A28" s="7"/>
      <c r="B28" s="23"/>
      <c r="C28" s="26"/>
      <c r="D28" s="26"/>
      <c r="E28" s="26"/>
      <c r="F28" s="26"/>
      <c r="G28" s="26"/>
      <c r="H28" s="26"/>
      <c r="I28" s="28"/>
      <c r="J28" s="28"/>
      <c r="K28" s="26"/>
      <c r="L28" s="26"/>
      <c r="M28" s="26"/>
      <c r="N28" s="26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x14ac:dyDescent="0.2">
      <c r="A29" s="6" t="s">
        <v>31</v>
      </c>
      <c r="B29" s="16" t="s">
        <v>57</v>
      </c>
      <c r="C29" s="26"/>
      <c r="D29" s="26"/>
      <c r="E29" s="26"/>
      <c r="F29" s="29" t="s">
        <v>46</v>
      </c>
      <c r="G29" s="26"/>
      <c r="H29" s="26"/>
      <c r="I29" s="28"/>
      <c r="J29" s="28"/>
      <c r="K29" s="26"/>
      <c r="L29" s="26"/>
      <c r="M29" s="26"/>
      <c r="N29" s="26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53.25" customHeight="1" x14ac:dyDescent="0.2">
      <c r="A30" s="7"/>
      <c r="C30" s="19"/>
      <c r="D30" s="19"/>
      <c r="E30" s="19" t="str">
        <f>'BGS PTY25 Cost Alloc'!$E$30</f>
        <v>2026 Forecasted Calendar Month Sales</v>
      </c>
      <c r="F30" s="19" t="s">
        <v>39</v>
      </c>
      <c r="G30" s="19" t="s">
        <v>39</v>
      </c>
      <c r="H30" s="19" t="str">
        <f>'BGS PTY25 Cost Alloc'!$E$30</f>
        <v>2026 Forecasted Calendar Month Sales</v>
      </c>
      <c r="I30" s="19" t="s">
        <v>39</v>
      </c>
      <c r="J30" s="19"/>
      <c r="K30" s="19"/>
      <c r="L30" s="19"/>
      <c r="M30" s="19"/>
      <c r="N30" s="15"/>
      <c r="O30" s="19"/>
      <c r="P30" s="19"/>
      <c r="Q30" s="19" t="str">
        <f>'BGS PTY25 Cost Alloc'!Q30</f>
        <v>2026 Forecasted Calendar Month Sales</v>
      </c>
      <c r="R30" s="19" t="s">
        <v>39</v>
      </c>
      <c r="S30" s="19" t="s">
        <v>39</v>
      </c>
      <c r="T30" s="19" t="str">
        <f>'BGS PTY25 Cost Alloc'!T30</f>
        <v>2026 Forecasted Calendar Month Sales</v>
      </c>
      <c r="U30" s="19" t="s">
        <v>39</v>
      </c>
      <c r="V30" s="19"/>
      <c r="W30" s="19"/>
      <c r="X30" s="19"/>
      <c r="Y30" s="19"/>
      <c r="Z30" s="19"/>
    </row>
    <row r="31" spans="1:26" x14ac:dyDescent="0.2">
      <c r="A31" s="7"/>
      <c r="B31" s="20" t="s">
        <v>190</v>
      </c>
      <c r="C31" s="2"/>
      <c r="D31" s="2"/>
      <c r="E31" s="2" t="str">
        <f>+E$13</f>
        <v>RT{1}</v>
      </c>
      <c r="F31" s="2" t="str">
        <f>+F$13</f>
        <v>RS{2}</v>
      </c>
      <c r="G31" s="2" t="str">
        <f>+G$13</f>
        <v>GS{3}</v>
      </c>
      <c r="H31" s="2" t="str">
        <f>+H$13</f>
        <v>GST</v>
      </c>
      <c r="I31" s="2" t="str">
        <f>+I$13</f>
        <v>OL/SL</v>
      </c>
      <c r="J31" s="2"/>
      <c r="K31" s="2"/>
      <c r="L31" s="2"/>
      <c r="M31" s="2"/>
      <c r="N31" s="22"/>
      <c r="O31" s="2"/>
      <c r="P31" s="2"/>
      <c r="Q31" s="2" t="str">
        <f>+Q$13</f>
        <v>RT{1}</v>
      </c>
      <c r="R31" s="2" t="str">
        <f>+R$13</f>
        <v>RS{2}</v>
      </c>
      <c r="S31" s="2" t="str">
        <f>+S$13</f>
        <v>GS{3}</v>
      </c>
      <c r="T31" s="2" t="str">
        <f>+T$13</f>
        <v>GST</v>
      </c>
      <c r="U31" s="2" t="str">
        <f>+U$13</f>
        <v>OL/SL</v>
      </c>
      <c r="V31" s="2"/>
      <c r="W31" s="2"/>
      <c r="X31" s="2"/>
      <c r="Y31" s="2"/>
      <c r="Z31" s="2"/>
    </row>
    <row r="32" spans="1:26" x14ac:dyDescent="0.2">
      <c r="A32" s="7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x14ac:dyDescent="0.2">
      <c r="A33" s="7"/>
      <c r="B33" s="23" t="s">
        <v>1</v>
      </c>
      <c r="C33" s="30"/>
      <c r="D33" s="112"/>
      <c r="E33" s="130">
        <f>'BGS PTY25 Cost Alloc'!E33</f>
        <v>0.34970000000000001</v>
      </c>
      <c r="F33" s="133" t="s">
        <v>40</v>
      </c>
      <c r="G33" s="133" t="s">
        <v>40</v>
      </c>
      <c r="H33" s="130">
        <f>'BGS PTY25 Cost Alloc'!H33</f>
        <v>0.41710000000000003</v>
      </c>
      <c r="I33" s="133" t="s">
        <v>40</v>
      </c>
      <c r="J33" s="30"/>
      <c r="K33" s="30"/>
      <c r="L33" s="26"/>
      <c r="M33" s="25"/>
      <c r="N33" s="26"/>
      <c r="O33" s="27"/>
      <c r="P33" s="27"/>
      <c r="Q33" s="27">
        <f t="shared" ref="Q33:Q44" si="1">1-E33</f>
        <v>0.65029999999999999</v>
      </c>
      <c r="R33" s="27"/>
      <c r="S33" s="27"/>
      <c r="T33" s="27">
        <f t="shared" ref="T33:T44" si="2">1-H33</f>
        <v>0.58289999999999997</v>
      </c>
      <c r="U33" s="27"/>
      <c r="V33" s="27"/>
      <c r="W33" s="27"/>
      <c r="X33" s="27"/>
      <c r="Y33" s="27"/>
      <c r="Z33" s="27"/>
    </row>
    <row r="34" spans="1:26" x14ac:dyDescent="0.2">
      <c r="A34" s="7"/>
      <c r="B34" s="23" t="s">
        <v>2</v>
      </c>
      <c r="C34" s="30"/>
      <c r="D34" s="112"/>
      <c r="E34" s="130">
        <f>'BGS PTY25 Cost Alloc'!E34</f>
        <v>0.34279999999999999</v>
      </c>
      <c r="F34" s="133" t="s">
        <v>40</v>
      </c>
      <c r="G34" s="133" t="s">
        <v>40</v>
      </c>
      <c r="H34" s="130">
        <f>'BGS PTY25 Cost Alloc'!H34</f>
        <v>0.41860000000000003</v>
      </c>
      <c r="I34" s="133" t="s">
        <v>40</v>
      </c>
      <c r="J34" s="30"/>
      <c r="K34" s="30"/>
      <c r="L34" s="26"/>
      <c r="M34" s="25"/>
      <c r="N34" s="26"/>
      <c r="O34" s="27"/>
      <c r="P34" s="27"/>
      <c r="Q34" s="27">
        <f t="shared" si="1"/>
        <v>0.65720000000000001</v>
      </c>
      <c r="R34" s="27"/>
      <c r="S34" s="27"/>
      <c r="T34" s="27">
        <f t="shared" si="2"/>
        <v>0.58139999999999992</v>
      </c>
      <c r="U34" s="27"/>
      <c r="V34" s="27"/>
      <c r="W34" s="27"/>
      <c r="X34" s="27"/>
      <c r="Y34" s="27"/>
      <c r="Z34" s="27"/>
    </row>
    <row r="35" spans="1:26" x14ac:dyDescent="0.2">
      <c r="A35" s="7"/>
      <c r="B35" s="23" t="s">
        <v>3</v>
      </c>
      <c r="C35" s="30"/>
      <c r="D35" s="112"/>
      <c r="E35" s="130">
        <f>'BGS PTY25 Cost Alloc'!E35</f>
        <v>0.33939999999999998</v>
      </c>
      <c r="F35" s="133" t="s">
        <v>40</v>
      </c>
      <c r="G35" s="133" t="s">
        <v>40</v>
      </c>
      <c r="H35" s="130">
        <f>'BGS PTY25 Cost Alloc'!H35</f>
        <v>0.41839999999999999</v>
      </c>
      <c r="I35" s="133" t="s">
        <v>40</v>
      </c>
      <c r="J35" s="30"/>
      <c r="K35" s="30"/>
      <c r="L35" s="26"/>
      <c r="M35" s="25"/>
      <c r="N35" s="26"/>
      <c r="O35" s="27"/>
      <c r="P35" s="27"/>
      <c r="Q35" s="27">
        <f t="shared" si="1"/>
        <v>0.66060000000000008</v>
      </c>
      <c r="R35" s="27"/>
      <c r="S35" s="27"/>
      <c r="T35" s="27">
        <f t="shared" si="2"/>
        <v>0.58160000000000001</v>
      </c>
      <c r="U35" s="27"/>
      <c r="V35" s="27"/>
      <c r="W35" s="27"/>
      <c r="X35" s="27"/>
      <c r="Y35" s="27"/>
      <c r="Z35" s="27"/>
    </row>
    <row r="36" spans="1:26" x14ac:dyDescent="0.2">
      <c r="A36" s="7"/>
      <c r="B36" s="23" t="s">
        <v>4</v>
      </c>
      <c r="C36" s="30"/>
      <c r="D36" s="112"/>
      <c r="E36" s="130">
        <f>'BGS PTY25 Cost Alloc'!E36</f>
        <v>0.34939999999999999</v>
      </c>
      <c r="F36" s="133" t="s">
        <v>40</v>
      </c>
      <c r="G36" s="133" t="s">
        <v>40</v>
      </c>
      <c r="H36" s="130">
        <f>'BGS PTY25 Cost Alloc'!H36</f>
        <v>0.42859999999999998</v>
      </c>
      <c r="I36" s="133" t="s">
        <v>40</v>
      </c>
      <c r="J36" s="30"/>
      <c r="K36" s="30"/>
      <c r="L36" s="26"/>
      <c r="M36" s="25"/>
      <c r="N36" s="26"/>
      <c r="O36" s="27"/>
      <c r="P36" s="27"/>
      <c r="Q36" s="27">
        <f t="shared" si="1"/>
        <v>0.65060000000000007</v>
      </c>
      <c r="R36" s="27"/>
      <c r="S36" s="27"/>
      <c r="T36" s="27">
        <f t="shared" si="2"/>
        <v>0.57140000000000002</v>
      </c>
      <c r="U36" s="27"/>
      <c r="V36" s="27"/>
      <c r="W36" s="27"/>
      <c r="X36" s="27"/>
      <c r="Y36" s="27"/>
      <c r="Z36" s="27"/>
    </row>
    <row r="37" spans="1:26" x14ac:dyDescent="0.2">
      <c r="A37" s="7"/>
      <c r="B37" s="23" t="s">
        <v>5</v>
      </c>
      <c r="C37" s="30"/>
      <c r="D37" s="112"/>
      <c r="E37" s="130">
        <f>'BGS PTY25 Cost Alloc'!E37</f>
        <v>0.36930000000000002</v>
      </c>
      <c r="F37" s="133" t="s">
        <v>40</v>
      </c>
      <c r="G37" s="133" t="s">
        <v>40</v>
      </c>
      <c r="H37" s="130">
        <f>'BGS PTY25 Cost Alloc'!H37</f>
        <v>0.44409999999999999</v>
      </c>
      <c r="I37" s="133" t="s">
        <v>40</v>
      </c>
      <c r="J37" s="30"/>
      <c r="K37" s="30"/>
      <c r="L37" s="26"/>
      <c r="M37" s="25"/>
      <c r="N37" s="26"/>
      <c r="O37" s="27"/>
      <c r="P37" s="27"/>
      <c r="Q37" s="27">
        <f t="shared" si="1"/>
        <v>0.63070000000000004</v>
      </c>
      <c r="R37" s="27"/>
      <c r="S37" s="27"/>
      <c r="T37" s="27">
        <f t="shared" si="2"/>
        <v>0.55590000000000006</v>
      </c>
      <c r="U37" s="27"/>
      <c r="V37" s="27"/>
      <c r="W37" s="27"/>
      <c r="X37" s="27"/>
      <c r="Y37" s="27"/>
      <c r="Z37" s="27"/>
    </row>
    <row r="38" spans="1:26" x14ac:dyDescent="0.2">
      <c r="A38" s="7"/>
      <c r="B38" s="23" t="s">
        <v>6</v>
      </c>
      <c r="C38" s="30"/>
      <c r="D38" s="112"/>
      <c r="E38" s="130">
        <f>'BGS PTY25 Cost Alloc'!E38</f>
        <v>0.40029999999999999</v>
      </c>
      <c r="F38" s="133" t="s">
        <v>40</v>
      </c>
      <c r="G38" s="133" t="s">
        <v>40</v>
      </c>
      <c r="H38" s="130">
        <f>'BGS PTY25 Cost Alloc'!H38</f>
        <v>0.45650000000000002</v>
      </c>
      <c r="I38" s="133" t="s">
        <v>40</v>
      </c>
      <c r="J38" s="30"/>
      <c r="K38" s="30"/>
      <c r="L38" s="26"/>
      <c r="M38" s="25"/>
      <c r="N38" s="26"/>
      <c r="O38" s="27"/>
      <c r="P38" s="27"/>
      <c r="Q38" s="27">
        <f t="shared" si="1"/>
        <v>0.59970000000000001</v>
      </c>
      <c r="R38" s="27"/>
      <c r="S38" s="27"/>
      <c r="T38" s="27">
        <f t="shared" si="2"/>
        <v>0.54349999999999998</v>
      </c>
      <c r="U38" s="27"/>
      <c r="V38" s="27"/>
      <c r="W38" s="27"/>
      <c r="X38" s="27"/>
      <c r="Y38" s="27"/>
      <c r="Z38" s="27"/>
    </row>
    <row r="39" spans="1:26" x14ac:dyDescent="0.2">
      <c r="A39" s="7"/>
      <c r="B39" s="23" t="s">
        <v>7</v>
      </c>
      <c r="C39" s="30"/>
      <c r="D39" s="112"/>
      <c r="E39" s="130">
        <f>'BGS PTY25 Cost Alloc'!E39</f>
        <v>0.4173</v>
      </c>
      <c r="F39" s="133" t="s">
        <v>40</v>
      </c>
      <c r="G39" s="133" t="s">
        <v>40</v>
      </c>
      <c r="H39" s="130">
        <f>'BGS PTY25 Cost Alloc'!H39</f>
        <v>0.4546</v>
      </c>
      <c r="I39" s="133" t="s">
        <v>40</v>
      </c>
      <c r="J39" s="30"/>
      <c r="K39" s="30"/>
      <c r="L39" s="26"/>
      <c r="M39" s="25"/>
      <c r="N39" s="26"/>
      <c r="O39" s="27"/>
      <c r="P39" s="27"/>
      <c r="Q39" s="27">
        <f t="shared" si="1"/>
        <v>0.5827</v>
      </c>
      <c r="R39" s="27"/>
      <c r="S39" s="27"/>
      <c r="T39" s="27">
        <f t="shared" si="2"/>
        <v>0.5454</v>
      </c>
      <c r="U39" s="27"/>
      <c r="V39" s="27"/>
      <c r="W39" s="27"/>
      <c r="X39" s="27"/>
      <c r="Y39" s="27"/>
      <c r="Z39" s="27"/>
    </row>
    <row r="40" spans="1:26" x14ac:dyDescent="0.2">
      <c r="A40" s="7"/>
      <c r="B40" s="23" t="s">
        <v>8</v>
      </c>
      <c r="C40" s="30"/>
      <c r="D40" s="112"/>
      <c r="E40" s="130">
        <f>'BGS PTY25 Cost Alloc'!E40</f>
        <v>0.41449999999999998</v>
      </c>
      <c r="F40" s="133" t="s">
        <v>40</v>
      </c>
      <c r="G40" s="133" t="s">
        <v>40</v>
      </c>
      <c r="H40" s="130">
        <f>'BGS PTY25 Cost Alloc'!H40</f>
        <v>0.45229999999999998</v>
      </c>
      <c r="I40" s="133" t="s">
        <v>40</v>
      </c>
      <c r="J40" s="30"/>
      <c r="K40" s="30"/>
      <c r="L40" s="26"/>
      <c r="M40" s="25"/>
      <c r="N40" s="26"/>
      <c r="O40" s="27"/>
      <c r="P40" s="27"/>
      <c r="Q40" s="27">
        <f t="shared" si="1"/>
        <v>0.58550000000000002</v>
      </c>
      <c r="R40" s="27"/>
      <c r="S40" s="27"/>
      <c r="T40" s="27">
        <f t="shared" si="2"/>
        <v>0.54770000000000008</v>
      </c>
      <c r="U40" s="27"/>
      <c r="V40" s="27"/>
      <c r="W40" s="27"/>
      <c r="X40" s="27"/>
      <c r="Y40" s="27"/>
      <c r="Z40" s="27"/>
    </row>
    <row r="41" spans="1:26" x14ac:dyDescent="0.2">
      <c r="A41" s="7"/>
      <c r="B41" s="23" t="s">
        <v>9</v>
      </c>
      <c r="C41" s="30"/>
      <c r="D41" s="112"/>
      <c r="E41" s="130">
        <f>'BGS PTY25 Cost Alloc'!E41</f>
        <v>0.39290000000000003</v>
      </c>
      <c r="F41" s="133" t="s">
        <v>40</v>
      </c>
      <c r="G41" s="133" t="s">
        <v>40</v>
      </c>
      <c r="H41" s="130">
        <f>'BGS PTY25 Cost Alloc'!H41</f>
        <v>0.45179999999999998</v>
      </c>
      <c r="I41" s="133" t="s">
        <v>40</v>
      </c>
      <c r="J41" s="30"/>
      <c r="K41" s="30"/>
      <c r="L41" s="26"/>
      <c r="M41" s="25"/>
      <c r="N41" s="26"/>
      <c r="O41" s="27"/>
      <c r="P41" s="27"/>
      <c r="Q41" s="27">
        <f t="shared" si="1"/>
        <v>0.60709999999999997</v>
      </c>
      <c r="R41" s="27"/>
      <c r="S41" s="27"/>
      <c r="T41" s="27">
        <f t="shared" si="2"/>
        <v>0.54820000000000002</v>
      </c>
      <c r="U41" s="27"/>
      <c r="V41" s="27"/>
      <c r="W41" s="27"/>
      <c r="X41" s="27"/>
      <c r="Y41" s="27"/>
      <c r="Z41" s="27"/>
    </row>
    <row r="42" spans="1:26" x14ac:dyDescent="0.2">
      <c r="A42" s="7"/>
      <c r="B42" s="23" t="s">
        <v>10</v>
      </c>
      <c r="C42" s="30"/>
      <c r="D42" s="112"/>
      <c r="E42" s="130">
        <f>'BGS PTY25 Cost Alloc'!E42</f>
        <v>0.36020000000000002</v>
      </c>
      <c r="F42" s="133" t="s">
        <v>40</v>
      </c>
      <c r="G42" s="133" t="s">
        <v>40</v>
      </c>
      <c r="H42" s="130">
        <f>'BGS PTY25 Cost Alloc'!H42</f>
        <v>0.45150000000000001</v>
      </c>
      <c r="I42" s="133" t="s">
        <v>40</v>
      </c>
      <c r="J42" s="30"/>
      <c r="K42" s="30"/>
      <c r="L42" s="26"/>
      <c r="M42" s="25"/>
      <c r="N42" s="26"/>
      <c r="O42" s="27"/>
      <c r="P42" s="27"/>
      <c r="Q42" s="27">
        <f t="shared" si="1"/>
        <v>0.63979999999999992</v>
      </c>
      <c r="R42" s="27"/>
      <c r="S42" s="27"/>
      <c r="T42" s="27">
        <f t="shared" si="2"/>
        <v>0.54849999999999999</v>
      </c>
      <c r="U42" s="27"/>
      <c r="V42" s="27"/>
      <c r="W42" s="27"/>
      <c r="X42" s="27"/>
      <c r="Y42" s="27"/>
      <c r="Z42" s="27"/>
    </row>
    <row r="43" spans="1:26" x14ac:dyDescent="0.2">
      <c r="A43" s="7"/>
      <c r="B43" s="23" t="s">
        <v>11</v>
      </c>
      <c r="C43" s="30"/>
      <c r="D43" s="112"/>
      <c r="E43" s="130">
        <f>'BGS PTY25 Cost Alloc'!E43</f>
        <v>0.34989999999999999</v>
      </c>
      <c r="F43" s="133" t="s">
        <v>40</v>
      </c>
      <c r="G43" s="133" t="s">
        <v>40</v>
      </c>
      <c r="H43" s="130">
        <f>'BGS PTY25 Cost Alloc'!H43</f>
        <v>0.44180000000000003</v>
      </c>
      <c r="I43" s="133" t="s">
        <v>40</v>
      </c>
      <c r="J43" s="30"/>
      <c r="K43" s="30"/>
      <c r="L43" s="26"/>
      <c r="M43" s="25"/>
      <c r="N43" s="26"/>
      <c r="O43" s="27"/>
      <c r="P43" s="27"/>
      <c r="Q43" s="27">
        <f t="shared" si="1"/>
        <v>0.65010000000000001</v>
      </c>
      <c r="R43" s="27"/>
      <c r="S43" s="27"/>
      <c r="T43" s="27">
        <f t="shared" si="2"/>
        <v>0.55820000000000003</v>
      </c>
      <c r="U43" s="27"/>
      <c r="V43" s="27"/>
      <c r="W43" s="27"/>
      <c r="X43" s="27"/>
      <c r="Y43" s="27"/>
      <c r="Z43" s="27"/>
    </row>
    <row r="44" spans="1:26" x14ac:dyDescent="0.2">
      <c r="A44" s="7"/>
      <c r="B44" s="23" t="s">
        <v>12</v>
      </c>
      <c r="C44" s="30"/>
      <c r="D44" s="112"/>
      <c r="E44" s="130">
        <f>'BGS PTY25 Cost Alloc'!E44</f>
        <v>0.3493</v>
      </c>
      <c r="F44" s="133" t="s">
        <v>40</v>
      </c>
      <c r="G44" s="133" t="s">
        <v>40</v>
      </c>
      <c r="H44" s="130">
        <f>'BGS PTY25 Cost Alloc'!H44</f>
        <v>0.4289</v>
      </c>
      <c r="I44" s="133" t="s">
        <v>40</v>
      </c>
      <c r="J44" s="30"/>
      <c r="K44" s="30"/>
      <c r="L44" s="26"/>
      <c r="M44" s="25"/>
      <c r="N44" s="26"/>
      <c r="O44" s="27"/>
      <c r="P44" s="27"/>
      <c r="Q44" s="27">
        <f t="shared" si="1"/>
        <v>0.65070000000000006</v>
      </c>
      <c r="R44" s="27"/>
      <c r="S44" s="27"/>
      <c r="T44" s="27">
        <f t="shared" si="2"/>
        <v>0.57109999999999994</v>
      </c>
      <c r="U44" s="27"/>
      <c r="V44" s="27"/>
      <c r="W44" s="27"/>
      <c r="X44" s="27"/>
      <c r="Y44" s="27"/>
      <c r="Z44" s="27"/>
    </row>
    <row r="45" spans="1:26" x14ac:dyDescent="0.2">
      <c r="A45" s="7"/>
      <c r="B45" s="23"/>
      <c r="C45" s="30"/>
      <c r="D45" s="30"/>
      <c r="E45" s="30"/>
      <c r="F45" s="30"/>
      <c r="G45" s="30"/>
      <c r="H45" s="30"/>
      <c r="I45" s="30"/>
      <c r="J45" s="30"/>
      <c r="K45" s="30"/>
      <c r="L45" s="26"/>
      <c r="M45" s="25"/>
      <c r="N45" s="26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x14ac:dyDescent="0.2">
      <c r="A46" s="7"/>
      <c r="B46" s="31" t="s">
        <v>202</v>
      </c>
      <c r="C46" s="30"/>
      <c r="D46" s="30"/>
      <c r="E46" s="30"/>
      <c r="F46" s="30"/>
      <c r="G46" s="30"/>
      <c r="H46" s="30"/>
      <c r="I46" s="30"/>
      <c r="J46" s="30"/>
      <c r="K46" s="30"/>
      <c r="L46" s="26"/>
      <c r="M46" s="25"/>
      <c r="N46" s="26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x14ac:dyDescent="0.2">
      <c r="A47" s="7"/>
      <c r="B47" s="31" t="s">
        <v>213</v>
      </c>
      <c r="C47" s="26"/>
      <c r="D47" s="26"/>
      <c r="E47" s="26"/>
      <c r="F47" s="26"/>
      <c r="G47" s="26"/>
      <c r="H47" s="26"/>
      <c r="I47" s="28"/>
      <c r="J47" s="28"/>
      <c r="K47" s="26"/>
      <c r="L47" s="26"/>
      <c r="M47" s="26"/>
      <c r="N47" s="26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x14ac:dyDescent="0.2">
      <c r="A48" s="7"/>
      <c r="B48" s="31" t="s">
        <v>66</v>
      </c>
      <c r="C48" s="26"/>
      <c r="D48" s="26"/>
      <c r="E48" s="26"/>
      <c r="F48" s="26"/>
      <c r="G48" s="26"/>
      <c r="H48" s="26"/>
      <c r="I48" s="28"/>
      <c r="J48" s="28"/>
      <c r="K48" s="26"/>
      <c r="L48" s="26"/>
      <c r="M48" s="26"/>
      <c r="N48" s="26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33" x14ac:dyDescent="0.2">
      <c r="A49" s="7"/>
      <c r="B49" s="31" t="s">
        <v>67</v>
      </c>
      <c r="C49" s="26"/>
      <c r="D49" s="26"/>
      <c r="E49" s="26"/>
      <c r="F49" s="26"/>
      <c r="G49" s="26"/>
      <c r="H49" s="26"/>
      <c r="I49" s="28"/>
      <c r="J49" s="28"/>
      <c r="K49" s="26"/>
      <c r="L49" s="26"/>
      <c r="M49" s="26"/>
      <c r="N49" s="26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33" x14ac:dyDescent="0.2">
      <c r="A50" s="7"/>
      <c r="B50" s="31" t="s">
        <v>68</v>
      </c>
      <c r="C50" s="26"/>
      <c r="D50" s="26"/>
      <c r="E50" s="26"/>
      <c r="F50" s="26"/>
      <c r="G50" s="26"/>
      <c r="H50" s="26"/>
      <c r="I50" s="28"/>
      <c r="J50" s="28"/>
      <c r="K50" s="26"/>
      <c r="L50" s="26"/>
      <c r="M50" s="26"/>
      <c r="N50" s="26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33" x14ac:dyDescent="0.2">
      <c r="A51" s="7"/>
      <c r="B51" s="23"/>
      <c r="C51" s="26"/>
      <c r="D51" s="26"/>
      <c r="E51" s="26"/>
      <c r="F51" s="26"/>
      <c r="G51" s="26"/>
      <c r="H51" s="26"/>
      <c r="I51" s="28"/>
      <c r="J51" s="28"/>
      <c r="K51" s="26"/>
      <c r="L51" s="26"/>
      <c r="M51" s="26"/>
      <c r="N51" s="26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33" ht="15.75" x14ac:dyDescent="0.25">
      <c r="A52" s="7"/>
      <c r="B52" s="504" t="str">
        <f>$B$1</f>
        <v xml:space="preserve">Jersey Central Power &amp; Light </v>
      </c>
      <c r="C52" s="504"/>
      <c r="D52" s="504"/>
      <c r="E52" s="504"/>
      <c r="F52" s="504"/>
      <c r="G52" s="504"/>
      <c r="H52" s="504"/>
      <c r="I52" s="504"/>
      <c r="J52" s="504"/>
      <c r="K52" s="504"/>
      <c r="L52" s="504"/>
      <c r="M52" s="26"/>
      <c r="N52" s="26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33" ht="15.75" x14ac:dyDescent="0.25">
      <c r="A53" s="7"/>
      <c r="B53" s="504" t="str">
        <f>$B$2</f>
        <v>Attachment 2</v>
      </c>
      <c r="C53" s="504"/>
      <c r="D53" s="504"/>
      <c r="E53" s="504"/>
      <c r="F53" s="504"/>
      <c r="G53" s="504"/>
      <c r="H53" s="504"/>
      <c r="I53" s="504"/>
      <c r="J53" s="504"/>
      <c r="K53" s="504"/>
      <c r="L53" s="504"/>
      <c r="M53" s="26"/>
      <c r="N53" s="26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33" x14ac:dyDescent="0.2">
      <c r="A54" s="7"/>
      <c r="B54" s="23"/>
      <c r="C54" s="26"/>
      <c r="D54" s="26"/>
      <c r="E54" s="26"/>
      <c r="F54" s="26"/>
      <c r="G54" s="26"/>
      <c r="H54" s="26"/>
      <c r="I54" s="28"/>
      <c r="J54" s="28"/>
      <c r="K54" s="26"/>
      <c r="L54" s="26"/>
      <c r="M54" s="26"/>
      <c r="N54" s="26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33" x14ac:dyDescent="0.2">
      <c r="A55" s="7"/>
      <c r="B55" s="23"/>
      <c r="C55" s="26"/>
      <c r="D55" s="26"/>
      <c r="E55" s="26"/>
      <c r="F55" s="26"/>
      <c r="G55" s="26"/>
      <c r="H55" s="26"/>
      <c r="I55" s="28"/>
      <c r="J55" s="28"/>
      <c r="K55" s="26"/>
      <c r="L55" s="26"/>
      <c r="M55" s="26"/>
      <c r="N55" s="26"/>
      <c r="O55" s="27"/>
      <c r="P55" s="27"/>
      <c r="Q55" s="27"/>
      <c r="R55" s="27"/>
      <c r="S55" s="27"/>
      <c r="T55" s="27"/>
      <c r="U55" s="27"/>
      <c r="V55" s="27"/>
      <c r="W55" s="144" t="str">
        <f>'BGS PTY25 Cost Alloc'!Y55</f>
        <v>Forecast 2026 Delivery MWh</v>
      </c>
      <c r="X55" s="145"/>
      <c r="Y55" s="145"/>
      <c r="Z55" s="26"/>
    </row>
    <row r="56" spans="1:33" x14ac:dyDescent="0.2">
      <c r="A56" s="6" t="s">
        <v>36</v>
      </c>
      <c r="B56" s="32" t="s">
        <v>48</v>
      </c>
      <c r="E56" s="26"/>
      <c r="F56" s="26"/>
      <c r="G56" s="26"/>
      <c r="H56" s="26"/>
      <c r="I56" s="28"/>
      <c r="J56" s="28"/>
      <c r="O56" s="1"/>
      <c r="W56" s="1"/>
      <c r="X56" s="1"/>
      <c r="Z56" s="142" t="s">
        <v>247</v>
      </c>
    </row>
    <row r="57" spans="1:33" x14ac:dyDescent="0.2">
      <c r="A57" s="7"/>
      <c r="B57" s="33" t="str">
        <f>'BGS PTY25 Cost Alloc'!$B$57</f>
        <v>calendar month sales forecasted for 2026</v>
      </c>
      <c r="N57" s="34"/>
      <c r="O57" s="35"/>
      <c r="P57" s="35"/>
      <c r="Q57" s="35" t="s">
        <v>129</v>
      </c>
      <c r="R57" s="35"/>
      <c r="S57" s="35"/>
      <c r="T57" s="35"/>
      <c r="U57" s="36"/>
      <c r="W57" s="2" t="s">
        <v>13</v>
      </c>
    </row>
    <row r="58" spans="1:33" x14ac:dyDescent="0.2">
      <c r="A58" s="7"/>
      <c r="B58" s="15" t="s">
        <v>38</v>
      </c>
      <c r="C58" s="2"/>
      <c r="D58" s="2"/>
      <c r="E58" s="2" t="str">
        <f>+E$13</f>
        <v>RT{1}</v>
      </c>
      <c r="F58" s="2" t="str">
        <f>+F$13</f>
        <v>RS{2}</v>
      </c>
      <c r="G58" s="2" t="str">
        <f>+G$13</f>
        <v>GS{3}</v>
      </c>
      <c r="H58" s="2" t="s">
        <v>203</v>
      </c>
      <c r="I58" s="2" t="str">
        <f>+I$13</f>
        <v>OL/SL</v>
      </c>
      <c r="J58" s="2" t="s">
        <v>13</v>
      </c>
      <c r="K58" s="2"/>
      <c r="L58" s="2"/>
      <c r="M58" s="2" t="s">
        <v>179</v>
      </c>
      <c r="N58" s="37"/>
      <c r="O58" s="2"/>
      <c r="P58" s="2"/>
      <c r="Q58" s="2" t="str">
        <f>+Q$13</f>
        <v>RT{1}</v>
      </c>
      <c r="R58" s="2" t="str">
        <f>+R$13</f>
        <v>RS{2}</v>
      </c>
      <c r="S58" s="2" t="str">
        <f>+S$13</f>
        <v>GS{3}</v>
      </c>
      <c r="T58" s="2" t="str">
        <f>+T$13</f>
        <v>GST</v>
      </c>
      <c r="U58" s="38" t="str">
        <f>+U$13</f>
        <v>OL/SL</v>
      </c>
      <c r="V58" s="2"/>
      <c r="W58" s="2" t="s">
        <v>59</v>
      </c>
      <c r="X58" s="2" t="s">
        <v>64</v>
      </c>
      <c r="Y58" s="2" t="s">
        <v>63</v>
      </c>
      <c r="Z58" s="2" t="s">
        <v>60</v>
      </c>
      <c r="AA58" s="2" t="s">
        <v>52</v>
      </c>
      <c r="AB58" s="2" t="s">
        <v>0</v>
      </c>
      <c r="AC58" s="2" t="s">
        <v>53</v>
      </c>
      <c r="AD58" s="2" t="s">
        <v>53</v>
      </c>
      <c r="AG58" s="2" t="s">
        <v>54</v>
      </c>
    </row>
    <row r="59" spans="1:33" x14ac:dyDescent="0.2">
      <c r="A59" s="7"/>
      <c r="M59" s="1" t="s">
        <v>180</v>
      </c>
      <c r="N59" s="39"/>
      <c r="U59" s="40"/>
    </row>
    <row r="60" spans="1:33" x14ac:dyDescent="0.2">
      <c r="A60" s="7"/>
      <c r="B60" s="23" t="s">
        <v>1</v>
      </c>
      <c r="C60" s="41"/>
      <c r="D60" s="41"/>
      <c r="E60" s="42">
        <f>'BGS PTY25 Cost Alloc'!E60</f>
        <v>19934</v>
      </c>
      <c r="F60" s="42">
        <f>'BGS PTY25 Cost Alloc'!F60</f>
        <v>897524</v>
      </c>
      <c r="G60" s="42">
        <f>'BGS PTY25 Cost Alloc'!G60</f>
        <v>508052</v>
      </c>
      <c r="H60" s="42">
        <f>'BGS PTY25 Cost Alloc'!H60</f>
        <v>14709</v>
      </c>
      <c r="I60" s="42">
        <f>'BGS PTY25 Cost Alloc'!I60</f>
        <v>10067</v>
      </c>
      <c r="J60" s="42">
        <f t="shared" ref="J60:J72" si="3">SUM(E60:I60)</f>
        <v>1450286</v>
      </c>
      <c r="K60" s="41"/>
      <c r="L60" s="41"/>
      <c r="M60" s="42">
        <f t="shared" ref="M60:M71" si="4">E60-ROUND(SUM($W60/1000),0)</f>
        <v>19317</v>
      </c>
      <c r="N60" s="43" t="s">
        <v>28</v>
      </c>
      <c r="O60" s="44"/>
      <c r="P60" s="4"/>
      <c r="Q60" s="4">
        <f>SUM(E60:E64,E69:E71)</f>
        <v>115223</v>
      </c>
      <c r="R60" s="4">
        <f>SUM(F60:F64,F69:F71)</f>
        <v>5612850</v>
      </c>
      <c r="S60" s="4">
        <f>SUM(G60:G64,G69:G71)</f>
        <v>3714049</v>
      </c>
      <c r="T60" s="4">
        <f>SUM(H60:H64,H69:H71)</f>
        <v>113111</v>
      </c>
      <c r="U60" s="45">
        <f>SUM(I60:I64,I69:I71)</f>
        <v>80621</v>
      </c>
      <c r="V60" s="143">
        <f>'BGS PTY25 Cost Alloc'!V60</f>
        <v>46023</v>
      </c>
      <c r="W60" s="42">
        <f>'BGS PTY25 Cost Alloc'!W60</f>
        <v>616868</v>
      </c>
      <c r="X60" s="42">
        <f>'BGS PTY25 Cost Alloc'!X60</f>
        <v>12508</v>
      </c>
      <c r="Y60" s="4">
        <f t="shared" ref="Y60:Y71" si="5">W60-X60</f>
        <v>604360</v>
      </c>
      <c r="Z60" s="42">
        <f>'BGS PTY25 Cost Alloc'!Z60</f>
        <v>1795515</v>
      </c>
      <c r="AA60" s="42">
        <f>'BGS PTY25 Cost Alloc'!AA60</f>
        <v>19317.195</v>
      </c>
      <c r="AB60" s="42">
        <f>'BGS PTY25 Cost Alloc'!AB60</f>
        <v>895728.21699999995</v>
      </c>
      <c r="AC60" s="42">
        <f>'BGS PTY25 Cost Alloc'!AC60</f>
        <v>508064.58100000001</v>
      </c>
      <c r="AD60" s="42">
        <f>'BGS PTY25 Cost Alloc'!AD60</f>
        <v>558108.875</v>
      </c>
      <c r="AG60" s="42">
        <f>'BGS PTY25 Cost Alloc'!AG60</f>
        <v>14709.368</v>
      </c>
    </row>
    <row r="61" spans="1:33" x14ac:dyDescent="0.2">
      <c r="A61" s="7"/>
      <c r="B61" s="23" t="s">
        <v>2</v>
      </c>
      <c r="C61" s="41"/>
      <c r="D61" s="41"/>
      <c r="E61" s="42">
        <f>'BGS PTY25 Cost Alloc'!E61</f>
        <v>17010</v>
      </c>
      <c r="F61" s="42">
        <f>'BGS PTY25 Cost Alloc'!F61</f>
        <v>738594</v>
      </c>
      <c r="G61" s="42">
        <f>'BGS PTY25 Cost Alloc'!G61</f>
        <v>456957</v>
      </c>
      <c r="H61" s="42">
        <f>'BGS PTY25 Cost Alloc'!H61</f>
        <v>13966</v>
      </c>
      <c r="I61" s="42">
        <f>'BGS PTY25 Cost Alloc'!I61</f>
        <v>10069</v>
      </c>
      <c r="J61" s="42">
        <f t="shared" si="3"/>
        <v>1236596</v>
      </c>
      <c r="K61" s="41"/>
      <c r="L61" s="41"/>
      <c r="M61" s="42">
        <f t="shared" si="4"/>
        <v>16489</v>
      </c>
      <c r="N61" s="43"/>
      <c r="O61" s="44"/>
      <c r="P61" s="73" t="s">
        <v>193</v>
      </c>
      <c r="Q61" s="4">
        <f>SUMPRODUCT(E33:E37,M60:M64)+SUMPRODUCT(E42:E44,M69:M71)</f>
        <v>38323.476999999999</v>
      </c>
      <c r="S61" s="5" t="s">
        <v>177</v>
      </c>
      <c r="T61" s="4">
        <f>SUMPRODUCT(H33:H37,H60:H64)+SUMPRODUCT(H42:H44,H69:H71)</f>
        <v>48727.693200000002</v>
      </c>
      <c r="U61" s="40">
        <f>T61/T60</f>
        <v>0.43079535323708573</v>
      </c>
      <c r="V61" s="143">
        <f>'BGS PTY25 Cost Alloc'!V61</f>
        <v>46054</v>
      </c>
      <c r="W61" s="42">
        <f>'BGS PTY25 Cost Alloc'!W61</f>
        <v>520716</v>
      </c>
      <c r="X61" s="42">
        <f>'BGS PTY25 Cost Alloc'!X61</f>
        <v>11630</v>
      </c>
      <c r="Y61" s="4">
        <f t="shared" si="5"/>
        <v>509086</v>
      </c>
      <c r="Z61" s="42">
        <f>'BGS PTY25 Cost Alloc'!Z61</f>
        <v>1522481</v>
      </c>
      <c r="AA61" s="42">
        <f>'BGS PTY25 Cost Alloc'!AA61</f>
        <v>16488.766</v>
      </c>
      <c r="AB61" s="42">
        <f>'BGS PTY25 Cost Alloc'!AB61</f>
        <v>737072.12800000003</v>
      </c>
      <c r="AC61" s="42">
        <f>'BGS PTY25 Cost Alloc'!AC61</f>
        <v>456969.03200000001</v>
      </c>
      <c r="AD61" s="42">
        <f>'BGS PTY25 Cost Alloc'!AD61</f>
        <v>505468.277</v>
      </c>
      <c r="AG61" s="42">
        <f>'BGS PTY25 Cost Alloc'!AG61</f>
        <v>13966.285</v>
      </c>
    </row>
    <row r="62" spans="1:33" x14ac:dyDescent="0.2">
      <c r="A62" s="7"/>
      <c r="B62" s="23" t="s">
        <v>3</v>
      </c>
      <c r="C62" s="41"/>
      <c r="D62" s="41"/>
      <c r="E62" s="42">
        <f>'BGS PTY25 Cost Alloc'!E62</f>
        <v>15988</v>
      </c>
      <c r="F62" s="42">
        <f>'BGS PTY25 Cost Alloc'!F62</f>
        <v>706497</v>
      </c>
      <c r="G62" s="42">
        <f>'BGS PTY25 Cost Alloc'!G62</f>
        <v>467404</v>
      </c>
      <c r="H62" s="42">
        <f>'BGS PTY25 Cost Alloc'!H62</f>
        <v>13555</v>
      </c>
      <c r="I62" s="42">
        <f>'BGS PTY25 Cost Alloc'!I62</f>
        <v>10070</v>
      </c>
      <c r="J62" s="42">
        <f t="shared" si="3"/>
        <v>1213514</v>
      </c>
      <c r="K62" s="41"/>
      <c r="L62" s="41"/>
      <c r="M62" s="42">
        <f t="shared" si="4"/>
        <v>15463</v>
      </c>
      <c r="N62" s="43"/>
      <c r="O62" s="44"/>
      <c r="P62" s="73" t="s">
        <v>194</v>
      </c>
      <c r="Q62" s="4">
        <f>SUMPRODUCT(Q33:Q37,M60:M64)+SUMPRODUCT(Q42:Q44,M69:M71)</f>
        <v>71208.523000000001</v>
      </c>
      <c r="S62" s="5" t="s">
        <v>178</v>
      </c>
      <c r="T62" s="4">
        <f>+T60-T61</f>
        <v>64383.306799999998</v>
      </c>
      <c r="U62" s="40"/>
      <c r="V62" s="143">
        <f>'BGS PTY25 Cost Alloc'!V62</f>
        <v>46082</v>
      </c>
      <c r="W62" s="42">
        <f>'BGS PTY25 Cost Alloc'!W62</f>
        <v>525070</v>
      </c>
      <c r="X62" s="42">
        <f>'BGS PTY25 Cost Alloc'!X62</f>
        <v>10927</v>
      </c>
      <c r="Y62" s="4">
        <f t="shared" si="5"/>
        <v>514143</v>
      </c>
      <c r="Z62" s="42">
        <f>'BGS PTY25 Cost Alloc'!Z62</f>
        <v>1366144</v>
      </c>
      <c r="AA62" s="42">
        <f>'BGS PTY25 Cost Alloc'!AA62</f>
        <v>15462.710999999999</v>
      </c>
      <c r="AB62" s="42">
        <f>'BGS PTY25 Cost Alloc'!AB62</f>
        <v>705130.97900000005</v>
      </c>
      <c r="AC62" s="42">
        <f>'BGS PTY25 Cost Alloc'!AC62</f>
        <v>467414.94400000002</v>
      </c>
      <c r="AD62" s="42">
        <f>'BGS PTY25 Cost Alloc'!AD62</f>
        <v>515049.34700000001</v>
      </c>
      <c r="AG62" s="42">
        <f>'BGS PTY25 Cost Alloc'!AG62</f>
        <v>13555.12</v>
      </c>
    </row>
    <row r="63" spans="1:33" x14ac:dyDescent="0.2">
      <c r="A63" s="7"/>
      <c r="B63" s="23" t="s">
        <v>4</v>
      </c>
      <c r="C63" s="41"/>
      <c r="D63" s="41"/>
      <c r="E63" s="42">
        <f>'BGS PTY25 Cost Alloc'!E63</f>
        <v>12070</v>
      </c>
      <c r="F63" s="42">
        <f>'BGS PTY25 Cost Alloc'!F63</f>
        <v>550986</v>
      </c>
      <c r="G63" s="42">
        <f>'BGS PTY25 Cost Alloc'!G63</f>
        <v>432993</v>
      </c>
      <c r="H63" s="42">
        <f>'BGS PTY25 Cost Alloc'!H63</f>
        <v>13768</v>
      </c>
      <c r="I63" s="42">
        <f>'BGS PTY25 Cost Alloc'!I63</f>
        <v>10078</v>
      </c>
      <c r="J63" s="42">
        <f t="shared" si="3"/>
        <v>1019895</v>
      </c>
      <c r="K63" s="41"/>
      <c r="L63" s="41"/>
      <c r="M63" s="42">
        <f t="shared" si="4"/>
        <v>11212</v>
      </c>
      <c r="N63" s="39"/>
      <c r="P63" s="73" t="s">
        <v>195</v>
      </c>
      <c r="Q63" s="4">
        <f>SUM(W60:W64,W69:W71)/1000</f>
        <v>5691.3419999999996</v>
      </c>
      <c r="U63" s="40"/>
      <c r="V63" s="143">
        <f>'BGS PTY25 Cost Alloc'!V63</f>
        <v>46113</v>
      </c>
      <c r="W63" s="42">
        <f>'BGS PTY25 Cost Alloc'!W63</f>
        <v>857967</v>
      </c>
      <c r="X63" s="42">
        <f>'BGS PTY25 Cost Alloc'!X63</f>
        <v>21326</v>
      </c>
      <c r="Y63" s="4">
        <f t="shared" si="5"/>
        <v>836641</v>
      </c>
      <c r="Z63" s="42">
        <f>'BGS PTY25 Cost Alloc'!Z63</f>
        <v>975851</v>
      </c>
      <c r="AA63" s="42">
        <f>'BGS PTY25 Cost Alloc'!AA63</f>
        <v>11212.025</v>
      </c>
      <c r="AB63" s="42">
        <f>'BGS PTY25 Cost Alloc'!AB63</f>
        <v>550009.79799999995</v>
      </c>
      <c r="AC63" s="42">
        <f>'BGS PTY25 Cost Alloc'!AC63</f>
        <v>433013.89899999998</v>
      </c>
      <c r="AD63" s="42">
        <f>'BGS PTY25 Cost Alloc'!AD63</f>
        <v>482088.13</v>
      </c>
      <c r="AG63" s="42">
        <f>'BGS PTY25 Cost Alloc'!AG63</f>
        <v>13767.583000000001</v>
      </c>
    </row>
    <row r="64" spans="1:33" x14ac:dyDescent="0.2">
      <c r="A64" s="7"/>
      <c r="B64" s="23" t="s">
        <v>5</v>
      </c>
      <c r="C64" s="41"/>
      <c r="D64" s="41"/>
      <c r="E64" s="42">
        <f>'BGS PTY25 Cost Alloc'!E64</f>
        <v>11940</v>
      </c>
      <c r="F64" s="42">
        <f>'BGS PTY25 Cost Alloc'!F64</f>
        <v>642034</v>
      </c>
      <c r="G64" s="42">
        <f>'BGS PTY25 Cost Alloc'!G64</f>
        <v>446623</v>
      </c>
      <c r="H64" s="42">
        <f>'BGS PTY25 Cost Alloc'!H64</f>
        <v>13994</v>
      </c>
      <c r="I64" s="42">
        <f>'BGS PTY25 Cost Alloc'!I64</f>
        <v>10079</v>
      </c>
      <c r="J64" s="42">
        <f t="shared" si="3"/>
        <v>1124670</v>
      </c>
      <c r="K64" s="41"/>
      <c r="L64" s="41"/>
      <c r="M64" s="42">
        <f t="shared" si="4"/>
        <v>10961</v>
      </c>
      <c r="N64" s="43" t="s">
        <v>29</v>
      </c>
      <c r="O64" s="44"/>
      <c r="P64" s="4"/>
      <c r="Q64" s="4">
        <f>+SUM(E65:E68)</f>
        <v>59568</v>
      </c>
      <c r="R64" s="4">
        <f>+SUM(F65:F68)</f>
        <v>4035706</v>
      </c>
      <c r="S64" s="4">
        <f>+SUM(G65:G68)</f>
        <v>2091570</v>
      </c>
      <c r="T64" s="4">
        <f>+SUM(H65:H68)</f>
        <v>53951</v>
      </c>
      <c r="U64" s="45">
        <f>+SUM(I65:I68)</f>
        <v>40326</v>
      </c>
      <c r="V64" s="143">
        <f>'BGS PTY25 Cost Alloc'!V64</f>
        <v>46143</v>
      </c>
      <c r="W64" s="42">
        <f>'BGS PTY25 Cost Alloc'!W64</f>
        <v>979156</v>
      </c>
      <c r="X64" s="42">
        <f>'BGS PTY25 Cost Alloc'!X64</f>
        <v>20504</v>
      </c>
      <c r="Y64" s="4">
        <f t="shared" si="5"/>
        <v>958652</v>
      </c>
      <c r="Z64" s="42">
        <f>'BGS PTY25 Cost Alloc'!Z64</f>
        <v>904502</v>
      </c>
      <c r="AA64" s="42">
        <f>'BGS PTY25 Cost Alloc'!AA64</f>
        <v>10961.432000000001</v>
      </c>
      <c r="AB64" s="42">
        <f>'BGS PTY25 Cost Alloc'!AB64</f>
        <v>641129.071</v>
      </c>
      <c r="AC64" s="42">
        <f>'BGS PTY25 Cost Alloc'!AC64</f>
        <v>446644.12799999997</v>
      </c>
      <c r="AD64" s="42">
        <f>'BGS PTY25 Cost Alloc'!AD64</f>
        <v>498069.98</v>
      </c>
      <c r="AG64" s="42">
        <f>'BGS PTY25 Cost Alloc'!AG64</f>
        <v>13994.22</v>
      </c>
    </row>
    <row r="65" spans="1:33" x14ac:dyDescent="0.2">
      <c r="A65" s="7"/>
      <c r="B65" s="23" t="s">
        <v>6</v>
      </c>
      <c r="C65" s="41"/>
      <c r="D65" s="41"/>
      <c r="E65" s="42">
        <f>'BGS PTY25 Cost Alloc'!E65</f>
        <v>13721</v>
      </c>
      <c r="F65" s="42">
        <f>'BGS PTY25 Cost Alloc'!F65</f>
        <v>876168</v>
      </c>
      <c r="G65" s="42">
        <f>'BGS PTY25 Cost Alloc'!G65</f>
        <v>508179</v>
      </c>
      <c r="H65" s="42">
        <f>'BGS PTY25 Cost Alloc'!H65</f>
        <v>15196</v>
      </c>
      <c r="I65" s="42">
        <f>'BGS PTY25 Cost Alloc'!I65</f>
        <v>10080</v>
      </c>
      <c r="J65" s="42">
        <f t="shared" si="3"/>
        <v>1423344</v>
      </c>
      <c r="K65" s="41"/>
      <c r="L65" s="42"/>
      <c r="M65" s="42">
        <f t="shared" si="4"/>
        <v>13051</v>
      </c>
      <c r="N65" s="43"/>
      <c r="O65" s="44"/>
      <c r="P65" s="134" t="s">
        <v>151</v>
      </c>
      <c r="Q65" s="42">
        <f>SUMPRODUCT(E38:E41,M65:M68)</f>
        <v>23323.231899999999</v>
      </c>
      <c r="R65" s="42">
        <f>'BGS PTY25 Cost Alloc'!R65</f>
        <v>2024892.4966168683</v>
      </c>
      <c r="S65" s="5" t="s">
        <v>177</v>
      </c>
      <c r="T65" s="4">
        <f>+SUMPRODUCT(H38:H41,H65:H68)</f>
        <v>24495.801499999998</v>
      </c>
      <c r="U65" s="46">
        <f>T65/T64</f>
        <v>0.45403795110377931</v>
      </c>
      <c r="V65" s="143">
        <f>'BGS PTY25 Cost Alloc'!V65</f>
        <v>46174</v>
      </c>
      <c r="W65" s="42">
        <f>'BGS PTY25 Cost Alloc'!W65</f>
        <v>669645</v>
      </c>
      <c r="X65" s="42">
        <f>'BGS PTY25 Cost Alloc'!X65</f>
        <v>19953</v>
      </c>
      <c r="Y65" s="4">
        <f t="shared" si="5"/>
        <v>649692</v>
      </c>
      <c r="Z65" s="42">
        <f>'BGS PTY25 Cost Alloc'!Z65</f>
        <v>1060636</v>
      </c>
      <c r="AA65" s="42">
        <f>'BGS PTY25 Cost Alloc'!AA65</f>
        <v>11991.019</v>
      </c>
      <c r="AB65" s="42">
        <f>'BGS PTY25 Cost Alloc'!AB65</f>
        <v>876167.61899999995</v>
      </c>
      <c r="AC65" s="42">
        <f>'BGS PTY25 Cost Alloc'!AC65</f>
        <v>508199.04200000002</v>
      </c>
      <c r="AD65" s="42">
        <f>'BGS PTY25 Cost Alloc'!AD65</f>
        <v>558912.14500000002</v>
      </c>
      <c r="AG65" s="42">
        <f>'BGS PTY25 Cost Alloc'!AG65</f>
        <v>15196.123</v>
      </c>
    </row>
    <row r="66" spans="1:33" x14ac:dyDescent="0.2">
      <c r="A66" s="7"/>
      <c r="B66" s="23" t="s">
        <v>7</v>
      </c>
      <c r="C66" s="41"/>
      <c r="D66" s="41"/>
      <c r="E66" s="42">
        <f>'BGS PTY25 Cost Alloc'!E66</f>
        <v>17769</v>
      </c>
      <c r="F66" s="42">
        <f>'BGS PTY25 Cost Alloc'!F66</f>
        <v>1217293</v>
      </c>
      <c r="G66" s="42">
        <f>'BGS PTY25 Cost Alloc'!G66</f>
        <v>575382</v>
      </c>
      <c r="H66" s="42">
        <f>'BGS PTY25 Cost Alloc'!H66</f>
        <v>15090</v>
      </c>
      <c r="I66" s="42">
        <f>'BGS PTY25 Cost Alloc'!I66</f>
        <v>10081</v>
      </c>
      <c r="J66" s="42">
        <f t="shared" si="3"/>
        <v>1835615</v>
      </c>
      <c r="K66" s="41"/>
      <c r="L66" s="42"/>
      <c r="M66" s="42">
        <f t="shared" si="4"/>
        <v>16981</v>
      </c>
      <c r="N66" s="43"/>
      <c r="O66" s="44"/>
      <c r="P66" s="134" t="s">
        <v>152</v>
      </c>
      <c r="Q66" s="42">
        <f>SUMPRODUCT(Q38:Q41,M65:M68)</f>
        <v>33873.768100000001</v>
      </c>
      <c r="R66" s="42">
        <f>'BGS PTY25 Cost Alloc'!R66</f>
        <v>2010813.5033831317</v>
      </c>
      <c r="S66" s="5" t="s">
        <v>178</v>
      </c>
      <c r="T66" s="4">
        <f>+T64-T65</f>
        <v>29455.198500000002</v>
      </c>
      <c r="U66" s="40"/>
      <c r="V66" s="143">
        <f>'BGS PTY25 Cost Alloc'!V66</f>
        <v>46204</v>
      </c>
      <c r="W66" s="42">
        <f>'BGS PTY25 Cost Alloc'!W66</f>
        <v>787636</v>
      </c>
      <c r="X66" s="42">
        <f>'BGS PTY25 Cost Alloc'!X66</f>
        <v>16438</v>
      </c>
      <c r="Y66" s="4">
        <f t="shared" si="5"/>
        <v>771198</v>
      </c>
      <c r="Z66" s="42">
        <f>'BGS PTY25 Cost Alloc'!Z66</f>
        <v>1284104</v>
      </c>
      <c r="AA66" s="42">
        <f>'BGS PTY25 Cost Alloc'!AA66</f>
        <v>15697.191000000001</v>
      </c>
      <c r="AB66" s="42">
        <f>'BGS PTY25 Cost Alloc'!AB66</f>
        <v>1217293.0870000001</v>
      </c>
      <c r="AC66" s="42">
        <f>'BGS PTY25 Cost Alloc'!AC66</f>
        <v>575397.571</v>
      </c>
      <c r="AD66" s="42">
        <f>'BGS PTY25 Cost Alloc'!AD66</f>
        <v>635075.83200000005</v>
      </c>
      <c r="AG66" s="42">
        <f>'BGS PTY25 Cost Alloc'!AG66</f>
        <v>15090.156999999999</v>
      </c>
    </row>
    <row r="67" spans="1:33" x14ac:dyDescent="0.2">
      <c r="A67" s="7"/>
      <c r="B67" s="23" t="s">
        <v>8</v>
      </c>
      <c r="C67" s="41"/>
      <c r="D67" s="41"/>
      <c r="E67" s="42">
        <f>'BGS PTY25 Cost Alloc'!E67</f>
        <v>16302</v>
      </c>
      <c r="F67" s="42">
        <f>'BGS PTY25 Cost Alloc'!F67</f>
        <v>1120590</v>
      </c>
      <c r="G67" s="42">
        <f>'BGS PTY25 Cost Alloc'!G67</f>
        <v>552263</v>
      </c>
      <c r="H67" s="42">
        <f>'BGS PTY25 Cost Alloc'!H67</f>
        <v>14133</v>
      </c>
      <c r="I67" s="42">
        <f>'BGS PTY25 Cost Alloc'!I67</f>
        <v>10082</v>
      </c>
      <c r="J67" s="42">
        <f t="shared" si="3"/>
        <v>1713370</v>
      </c>
      <c r="K67" s="41"/>
      <c r="L67" s="41"/>
      <c r="M67" s="42">
        <f t="shared" si="4"/>
        <v>15723</v>
      </c>
      <c r="N67" s="47"/>
      <c r="O67" s="48"/>
      <c r="P67" s="73" t="s">
        <v>195</v>
      </c>
      <c r="Q67" s="4">
        <f>SUM(W65:W68)/1000</f>
        <v>2370.9940000000001</v>
      </c>
      <c r="R67" s="55"/>
      <c r="S67" s="48"/>
      <c r="T67" s="48"/>
      <c r="U67" s="49"/>
      <c r="V67" s="143">
        <f>'BGS PTY25 Cost Alloc'!V67</f>
        <v>46235</v>
      </c>
      <c r="W67" s="42">
        <f>'BGS PTY25 Cost Alloc'!W67</f>
        <v>579312</v>
      </c>
      <c r="X67" s="42">
        <f>'BGS PTY25 Cost Alloc'!X67</f>
        <v>9384</v>
      </c>
      <c r="Y67" s="4">
        <f t="shared" si="5"/>
        <v>569928</v>
      </c>
      <c r="Z67" s="42">
        <f>'BGS PTY25 Cost Alloc'!Z67</f>
        <v>1061853</v>
      </c>
      <c r="AA67" s="42">
        <f>'BGS PTY25 Cost Alloc'!AA67</f>
        <v>14661.407999999999</v>
      </c>
      <c r="AB67" s="42">
        <f>'BGS PTY25 Cost Alloc'!AB67</f>
        <v>1120590.31</v>
      </c>
      <c r="AC67" s="42">
        <f>'BGS PTY25 Cost Alloc'!AC67</f>
        <v>552272.46799999999</v>
      </c>
      <c r="AD67" s="42">
        <f>'BGS PTY25 Cost Alloc'!AD67</f>
        <v>615582.95799999998</v>
      </c>
      <c r="AG67" s="42">
        <f>'BGS PTY25 Cost Alloc'!AG67</f>
        <v>14132.946</v>
      </c>
    </row>
    <row r="68" spans="1:33" x14ac:dyDescent="0.2">
      <c r="A68" s="7"/>
      <c r="B68" s="23" t="s">
        <v>9</v>
      </c>
      <c r="C68" s="41"/>
      <c r="D68" s="41"/>
      <c r="E68" s="42">
        <f>'BGS PTY25 Cost Alloc'!E68</f>
        <v>11776</v>
      </c>
      <c r="F68" s="42">
        <f>'BGS PTY25 Cost Alloc'!F68</f>
        <v>821655</v>
      </c>
      <c r="G68" s="42">
        <f>'BGS PTY25 Cost Alloc'!G68</f>
        <v>455746</v>
      </c>
      <c r="H68" s="42">
        <f>'BGS PTY25 Cost Alloc'!H68</f>
        <v>9532</v>
      </c>
      <c r="I68" s="42">
        <f>'BGS PTY25 Cost Alloc'!I68</f>
        <v>10083</v>
      </c>
      <c r="J68" s="42">
        <f t="shared" si="3"/>
        <v>1308792</v>
      </c>
      <c r="K68" s="41"/>
      <c r="L68" s="41"/>
      <c r="M68" s="42">
        <f t="shared" si="4"/>
        <v>11442</v>
      </c>
      <c r="N68" s="34"/>
      <c r="O68" s="35"/>
      <c r="P68" s="35"/>
      <c r="Q68" s="35" t="s">
        <v>130</v>
      </c>
      <c r="R68" s="35"/>
      <c r="S68" s="35"/>
      <c r="T68" s="35"/>
      <c r="U68" s="36"/>
      <c r="V68" s="143">
        <f>'BGS PTY25 Cost Alloc'!V68</f>
        <v>46266</v>
      </c>
      <c r="W68" s="42">
        <f>'BGS PTY25 Cost Alloc'!W68</f>
        <v>334401</v>
      </c>
      <c r="X68" s="42">
        <f>'BGS PTY25 Cost Alloc'!X68</f>
        <v>13376</v>
      </c>
      <c r="Y68" s="4">
        <f t="shared" si="5"/>
        <v>321025</v>
      </c>
      <c r="Z68" s="42">
        <f>'BGS PTY25 Cost Alloc'!Z68</f>
        <v>837016</v>
      </c>
      <c r="AA68" s="42">
        <f>'BGS PTY25 Cost Alloc'!AA68</f>
        <v>10604.641</v>
      </c>
      <c r="AB68" s="42">
        <f>'BGS PTY25 Cost Alloc'!AB68</f>
        <v>821654.91599999997</v>
      </c>
      <c r="AC68" s="42">
        <f>'BGS PTY25 Cost Alloc'!AC68</f>
        <v>455758.79500000004</v>
      </c>
      <c r="AD68" s="42">
        <f>'BGS PTY25 Cost Alloc'!AD68</f>
        <v>516067.43300000002</v>
      </c>
      <c r="AG68" s="42">
        <f>'BGS PTY25 Cost Alloc'!AG68</f>
        <v>9531.9599999999991</v>
      </c>
    </row>
    <row r="69" spans="1:33" x14ac:dyDescent="0.2">
      <c r="A69" s="7"/>
      <c r="B69" s="23" t="s">
        <v>10</v>
      </c>
      <c r="C69" s="41"/>
      <c r="D69" s="41"/>
      <c r="E69" s="42">
        <f>'BGS PTY25 Cost Alloc'!E69</f>
        <v>8764</v>
      </c>
      <c r="F69" s="42">
        <f>'BGS PTY25 Cost Alloc'!F69</f>
        <v>585754</v>
      </c>
      <c r="G69" s="42">
        <f>'BGS PTY25 Cost Alloc'!G69</f>
        <v>454579</v>
      </c>
      <c r="H69" s="42">
        <f>'BGS PTY25 Cost Alloc'!H69</f>
        <v>13379</v>
      </c>
      <c r="I69" s="42">
        <f>'BGS PTY25 Cost Alloc'!I69</f>
        <v>10084</v>
      </c>
      <c r="J69" s="42">
        <f t="shared" si="3"/>
        <v>1072560</v>
      </c>
      <c r="K69" s="41"/>
      <c r="L69" s="41"/>
      <c r="M69" s="42">
        <f t="shared" si="4"/>
        <v>8204</v>
      </c>
      <c r="N69" s="37"/>
      <c r="O69" s="2"/>
      <c r="P69" s="2"/>
      <c r="Q69" s="2" t="str">
        <f>+Q$13</f>
        <v>RT{1}</v>
      </c>
      <c r="R69" s="2"/>
      <c r="S69" s="2"/>
      <c r="T69" s="2" t="str">
        <f>+T$13</f>
        <v>GST</v>
      </c>
      <c r="U69" s="38"/>
      <c r="V69" s="143">
        <f>'BGS PTY25 Cost Alloc'!V69</f>
        <v>46296</v>
      </c>
      <c r="W69" s="42">
        <f>'BGS PTY25 Cost Alloc'!W69</f>
        <v>559944</v>
      </c>
      <c r="X69" s="42">
        <f>'BGS PTY25 Cost Alloc'!X69</f>
        <v>24727</v>
      </c>
      <c r="Y69" s="4">
        <f t="shared" si="5"/>
        <v>535217</v>
      </c>
      <c r="Z69" s="42">
        <f>'BGS PTY25 Cost Alloc'!Z69</f>
        <v>696371</v>
      </c>
      <c r="AA69" s="42">
        <f>'BGS PTY25 Cost Alloc'!AA69</f>
        <v>8203.8590000000004</v>
      </c>
      <c r="AB69" s="42">
        <f>'BGS PTY25 Cost Alloc'!AB69</f>
        <v>585058.36199999996</v>
      </c>
      <c r="AC69" s="42">
        <f>'BGS PTY25 Cost Alloc'!AC69</f>
        <v>454603.98100000003</v>
      </c>
      <c r="AD69" s="42">
        <f>'BGS PTY25 Cost Alloc'!AD69</f>
        <v>508480.06</v>
      </c>
      <c r="AG69" s="42">
        <f>'BGS PTY25 Cost Alloc'!AG69</f>
        <v>13379.145</v>
      </c>
    </row>
    <row r="70" spans="1:33" x14ac:dyDescent="0.2">
      <c r="A70" s="7"/>
      <c r="B70" s="23" t="s">
        <v>11</v>
      </c>
      <c r="C70" s="41"/>
      <c r="D70" s="41"/>
      <c r="E70" s="42">
        <f>'BGS PTY25 Cost Alloc'!E70</f>
        <v>11948</v>
      </c>
      <c r="F70" s="42">
        <f>'BGS PTY25 Cost Alloc'!F70</f>
        <v>656901</v>
      </c>
      <c r="G70" s="42">
        <f>'BGS PTY25 Cost Alloc'!G70</f>
        <v>442776</v>
      </c>
      <c r="H70" s="42">
        <f>'BGS PTY25 Cost Alloc'!H70</f>
        <v>12650</v>
      </c>
      <c r="I70" s="42">
        <f>'BGS PTY25 Cost Alloc'!I70</f>
        <v>10086</v>
      </c>
      <c r="J70" s="42">
        <f t="shared" si="3"/>
        <v>1134361</v>
      </c>
      <c r="K70" s="41"/>
      <c r="L70" s="41"/>
      <c r="M70" s="42">
        <f t="shared" si="4"/>
        <v>11200</v>
      </c>
      <c r="N70" s="39"/>
      <c r="U70" s="40"/>
      <c r="V70" s="143">
        <f>'BGS PTY25 Cost Alloc'!V70</f>
        <v>46327</v>
      </c>
      <c r="W70" s="42">
        <f>'BGS PTY25 Cost Alloc'!W70</f>
        <v>748343</v>
      </c>
      <c r="X70" s="42">
        <f>'BGS PTY25 Cost Alloc'!X70</f>
        <v>25714</v>
      </c>
      <c r="Y70" s="4">
        <f t="shared" si="5"/>
        <v>722629</v>
      </c>
      <c r="Z70" s="42">
        <f>'BGS PTY25 Cost Alloc'!Z70</f>
        <v>1048855</v>
      </c>
      <c r="AA70" s="42">
        <f>'BGS PTY25 Cost Alloc'!AA70</f>
        <v>11200.157999999999</v>
      </c>
      <c r="AB70" s="42">
        <f>'BGS PTY25 Cost Alloc'!AB70</f>
        <v>655852.34699999995</v>
      </c>
      <c r="AC70" s="42">
        <f>'BGS PTY25 Cost Alloc'!AC70</f>
        <v>442801.51300000004</v>
      </c>
      <c r="AD70" s="42">
        <f>'BGS PTY25 Cost Alloc'!AD70</f>
        <v>494150.41800000001</v>
      </c>
      <c r="AG70" s="42">
        <f>'BGS PTY25 Cost Alloc'!AG70</f>
        <v>12650.227000000001</v>
      </c>
    </row>
    <row r="71" spans="1:33" x14ac:dyDescent="0.2">
      <c r="A71" s="7"/>
      <c r="B71" s="23" t="s">
        <v>12</v>
      </c>
      <c r="C71" s="41"/>
      <c r="D71" s="41"/>
      <c r="E71" s="42">
        <f>'BGS PTY25 Cost Alloc'!E71</f>
        <v>17569</v>
      </c>
      <c r="F71" s="42">
        <f>'BGS PTY25 Cost Alloc'!F71</f>
        <v>834560</v>
      </c>
      <c r="G71" s="42">
        <f>'BGS PTY25 Cost Alloc'!G71</f>
        <v>504665</v>
      </c>
      <c r="H71" s="42">
        <f>'BGS PTY25 Cost Alloc'!H71</f>
        <v>17090</v>
      </c>
      <c r="I71" s="42">
        <f>'BGS PTY25 Cost Alloc'!I71</f>
        <v>10088</v>
      </c>
      <c r="J71" s="42">
        <f t="shared" si="3"/>
        <v>1383972</v>
      </c>
      <c r="K71" s="41"/>
      <c r="L71" s="41"/>
      <c r="M71" s="42">
        <f t="shared" si="4"/>
        <v>16686</v>
      </c>
      <c r="N71" s="43"/>
      <c r="O71" s="44"/>
      <c r="P71" s="97" t="s">
        <v>148</v>
      </c>
      <c r="Q71" s="4">
        <f>SUM(E60:E64,E69:E71)</f>
        <v>115223</v>
      </c>
      <c r="R71" s="4"/>
      <c r="S71" s="97" t="s">
        <v>148</v>
      </c>
      <c r="T71" s="4">
        <f>SUM(H60:H64,H69:H71)</f>
        <v>113111</v>
      </c>
      <c r="U71" s="45"/>
      <c r="V71" s="143">
        <f>'BGS PTY25 Cost Alloc'!V71</f>
        <v>46357</v>
      </c>
      <c r="W71" s="42">
        <f>'BGS PTY25 Cost Alloc'!W71</f>
        <v>883278</v>
      </c>
      <c r="X71" s="42">
        <f>'BGS PTY25 Cost Alloc'!X71</f>
        <v>18583</v>
      </c>
      <c r="Y71" s="4">
        <f t="shared" si="5"/>
        <v>864695</v>
      </c>
      <c r="Z71" s="42">
        <f>'BGS PTY25 Cost Alloc'!Z71</f>
        <v>1583127</v>
      </c>
      <c r="AA71" s="42">
        <f>'BGS PTY25 Cost Alloc'!AA71</f>
        <v>16686.431</v>
      </c>
      <c r="AB71" s="42">
        <f>'BGS PTY25 Cost Alloc'!AB71</f>
        <v>832977.33900000004</v>
      </c>
      <c r="AC71" s="42">
        <f>'BGS PTY25 Cost Alloc'!AC71</f>
        <v>504684.48200000008</v>
      </c>
      <c r="AD71" s="42">
        <f>'BGS PTY25 Cost Alloc'!AD71</f>
        <v>550098.08700000006</v>
      </c>
      <c r="AG71" s="42">
        <f>'BGS PTY25 Cost Alloc'!AG71</f>
        <v>17090.401000000002</v>
      </c>
    </row>
    <row r="72" spans="1:33" x14ac:dyDescent="0.2">
      <c r="A72" s="7"/>
      <c r="B72" s="50" t="s">
        <v>13</v>
      </c>
      <c r="C72" s="4"/>
      <c r="D72" s="4"/>
      <c r="E72" s="4">
        <f>SUM(E60:E71)</f>
        <v>174791</v>
      </c>
      <c r="F72" s="4">
        <f>SUM(F60:F71)</f>
        <v>9648556</v>
      </c>
      <c r="G72" s="4">
        <f>SUM(G60:G71)</f>
        <v>5805619</v>
      </c>
      <c r="H72" s="4">
        <f>SUM(H60:H71)</f>
        <v>167062</v>
      </c>
      <c r="I72" s="4">
        <f>SUM(I60:I71)</f>
        <v>120947</v>
      </c>
      <c r="J72" s="4">
        <f t="shared" si="3"/>
        <v>15916975</v>
      </c>
      <c r="K72" s="4"/>
      <c r="L72" s="4"/>
      <c r="M72" s="4">
        <f>SUM(M60:M71)</f>
        <v>166729</v>
      </c>
      <c r="N72" s="43"/>
      <c r="O72" s="44"/>
      <c r="P72" s="73" t="s">
        <v>146</v>
      </c>
      <c r="Q72" s="4">
        <f>SUMPRODUCT(E15:E19,E60:E64)+SUMPRODUCT(E24:E26,E69:E71)</f>
        <v>54775.6587</v>
      </c>
      <c r="R72">
        <f>Q72/Q71</f>
        <v>0.47538823585568851</v>
      </c>
      <c r="S72" s="73" t="s">
        <v>177</v>
      </c>
      <c r="T72" s="4">
        <f>SUMPRODUCT(H15:H19,H60:H64)+SUMPRODUCT(H24:H26,H69:H71)</f>
        <v>59565.486000000004</v>
      </c>
      <c r="U72" s="40">
        <f>T72/T71</f>
        <v>0.52661090433291191</v>
      </c>
      <c r="W72" s="4">
        <f t="shared" ref="W72:AD72" si="6">SUM(W60:W71)</f>
        <v>8062336</v>
      </c>
      <c r="X72" s="4">
        <f t="shared" si="6"/>
        <v>205070</v>
      </c>
      <c r="Y72" s="4">
        <f t="shared" si="6"/>
        <v>7857266</v>
      </c>
      <c r="Z72" s="4">
        <f t="shared" si="6"/>
        <v>14136455</v>
      </c>
      <c r="AA72" s="4">
        <f t="shared" si="6"/>
        <v>162486.83600000001</v>
      </c>
      <c r="AB72" s="4">
        <f t="shared" si="6"/>
        <v>9638664.1730000004</v>
      </c>
      <c r="AC72" s="4">
        <f t="shared" si="6"/>
        <v>5805824.4359999998</v>
      </c>
      <c r="AD72" s="4">
        <f t="shared" si="6"/>
        <v>6437151.5419999994</v>
      </c>
      <c r="AG72" s="4">
        <f>SUM(AG60:AG71)</f>
        <v>167063.535</v>
      </c>
    </row>
    <row r="73" spans="1:33" x14ac:dyDescent="0.2">
      <c r="A73" s="7"/>
      <c r="B73" s="23"/>
      <c r="J73" s="51"/>
      <c r="N73" s="43"/>
      <c r="O73" s="44"/>
      <c r="P73" s="73" t="s">
        <v>145</v>
      </c>
      <c r="Q73" s="4">
        <f>+Q71-Q72</f>
        <v>60447.3413</v>
      </c>
      <c r="S73" s="73" t="s">
        <v>178</v>
      </c>
      <c r="T73" s="4">
        <f>+T71-T72</f>
        <v>53545.513999999996</v>
      </c>
      <c r="U73" s="40"/>
    </row>
    <row r="74" spans="1:33" ht="15.75" x14ac:dyDescent="0.25">
      <c r="A74" s="7"/>
      <c r="N74" s="39"/>
      <c r="U74" s="40"/>
      <c r="V74" s="5" t="s">
        <v>181</v>
      </c>
      <c r="W74" t="s">
        <v>185</v>
      </c>
      <c r="X74" t="s">
        <v>184</v>
      </c>
      <c r="Y74" t="s">
        <v>182</v>
      </c>
      <c r="Z74" t="s">
        <v>183</v>
      </c>
      <c r="AB74" t="s">
        <v>186</v>
      </c>
      <c r="AC74" t="s">
        <v>211</v>
      </c>
      <c r="AE74" s="13"/>
    </row>
    <row r="75" spans="1:33" x14ac:dyDescent="0.2">
      <c r="A75" s="6" t="s">
        <v>37</v>
      </c>
      <c r="B75" s="1" t="s">
        <v>19</v>
      </c>
      <c r="G75" s="52" t="s">
        <v>32</v>
      </c>
      <c r="H75" s="1" t="s">
        <v>175</v>
      </c>
      <c r="N75" s="43"/>
      <c r="O75" s="44"/>
      <c r="P75" s="93" t="s">
        <v>149</v>
      </c>
      <c r="Q75" s="4">
        <f>+SUM(E65:E68)</f>
        <v>59568</v>
      </c>
      <c r="R75" s="2"/>
      <c r="S75" s="93" t="s">
        <v>149</v>
      </c>
      <c r="T75" s="4">
        <f>+SUM(H65:H68)</f>
        <v>53951</v>
      </c>
      <c r="U75" s="38"/>
      <c r="V75" s="4">
        <f t="shared" ref="V75:V86" si="7">W60-W75</f>
        <v>234164</v>
      </c>
      <c r="W75" s="4">
        <f t="shared" ref="W75:W86" si="8">SUM(X75:Z75)</f>
        <v>382704</v>
      </c>
      <c r="X75" s="42">
        <f>'BGS PTY25 Cost Alloc'!X75</f>
        <v>9880</v>
      </c>
      <c r="Y75" s="42">
        <f>'BGS PTY25 Cost Alloc'!Y75</f>
        <v>368419</v>
      </c>
      <c r="Z75" s="42">
        <f>'BGS PTY25 Cost Alloc'!Z75</f>
        <v>4405</v>
      </c>
      <c r="AA75" s="4"/>
      <c r="AB75">
        <f t="shared" ref="AB75:AB86" si="9">(V75*$AA$94+W75*$AA$95)/1000</f>
        <v>136.73878205128204</v>
      </c>
      <c r="AC75">
        <f t="shared" ref="AC75:AC86" si="10">(W60/1000)-AB75</f>
        <v>480.12921794871801</v>
      </c>
    </row>
    <row r="76" spans="1:33" x14ac:dyDescent="0.2">
      <c r="A76" s="7"/>
      <c r="B76" s="15" t="s">
        <v>21</v>
      </c>
      <c r="G76" s="18"/>
      <c r="H76" s="16" t="s">
        <v>174</v>
      </c>
      <c r="N76" s="43"/>
      <c r="O76" s="44"/>
      <c r="P76" s="73" t="s">
        <v>146</v>
      </c>
      <c r="Q76" s="4">
        <f>+SUMPRODUCT(E20:E23,E65:E68)</f>
        <v>30539.264900000002</v>
      </c>
      <c r="R76">
        <f>Q76/Q75</f>
        <v>0.51267903740263232</v>
      </c>
      <c r="S76" s="5" t="s">
        <v>177</v>
      </c>
      <c r="T76" s="4">
        <f>+SUMPRODUCT(H20:H23,H65:H68)</f>
        <v>30000.484699999997</v>
      </c>
      <c r="U76" s="40">
        <f>T76/T75</f>
        <v>0.55606911271338799</v>
      </c>
      <c r="V76" s="4">
        <f t="shared" si="7"/>
        <v>194512</v>
      </c>
      <c r="W76" s="4">
        <f t="shared" si="8"/>
        <v>326204</v>
      </c>
      <c r="X76" s="42">
        <f>'BGS PTY25 Cost Alloc'!X76</f>
        <v>8930</v>
      </c>
      <c r="Y76" s="42">
        <f>'BGS PTY25 Cost Alloc'!Y76</f>
        <v>314279</v>
      </c>
      <c r="Z76" s="42">
        <f>'BGS PTY25 Cost Alloc'!Z76</f>
        <v>2995</v>
      </c>
      <c r="AA76" s="4"/>
      <c r="AB76">
        <f t="shared" si="9"/>
        <v>115.94659111721612</v>
      </c>
      <c r="AC76">
        <f t="shared" si="10"/>
        <v>404.76940888278386</v>
      </c>
    </row>
    <row r="77" spans="1:33" x14ac:dyDescent="0.2">
      <c r="A77" s="7"/>
      <c r="C77" s="2" t="s">
        <v>221</v>
      </c>
      <c r="D77" s="2" t="s">
        <v>218</v>
      </c>
      <c r="E77" s="2" t="s">
        <v>221</v>
      </c>
      <c r="F77" s="2" t="s">
        <v>218</v>
      </c>
      <c r="G77" s="2"/>
      <c r="N77" s="53"/>
      <c r="O77" s="54"/>
      <c r="P77" s="98" t="s">
        <v>145</v>
      </c>
      <c r="Q77" s="55">
        <f>Q75-Q76</f>
        <v>29028.735099999998</v>
      </c>
      <c r="R77" s="48"/>
      <c r="S77" s="110" t="s">
        <v>178</v>
      </c>
      <c r="T77" s="55">
        <f>T75-T76</f>
        <v>23950.515300000003</v>
      </c>
      <c r="U77" s="49"/>
      <c r="V77" s="4">
        <f t="shared" si="7"/>
        <v>204852</v>
      </c>
      <c r="W77" s="4">
        <f t="shared" si="8"/>
        <v>320218</v>
      </c>
      <c r="X77" s="42">
        <f>'BGS PTY25 Cost Alloc'!X77</f>
        <v>8898</v>
      </c>
      <c r="Y77" s="42">
        <f>'BGS PTY25 Cost Alloc'!Y77</f>
        <v>308346</v>
      </c>
      <c r="Z77" s="42">
        <f>'BGS PTY25 Cost Alloc'!Z77</f>
        <v>2974</v>
      </c>
      <c r="AA77" s="4"/>
      <c r="AB77">
        <f t="shared" si="9"/>
        <v>115.47479510073259</v>
      </c>
      <c r="AC77">
        <f t="shared" si="10"/>
        <v>409.59520489926746</v>
      </c>
      <c r="AD77" s="4">
        <f>SUM(AB65:AB68)</f>
        <v>4035705.932</v>
      </c>
    </row>
    <row r="78" spans="1:33" x14ac:dyDescent="0.2">
      <c r="A78" s="7"/>
      <c r="C78" s="2" t="s">
        <v>14</v>
      </c>
      <c r="D78" s="2" t="s">
        <v>14</v>
      </c>
      <c r="E78" s="2" t="s">
        <v>15</v>
      </c>
      <c r="F78" s="2" t="s">
        <v>15</v>
      </c>
      <c r="H78" s="2" t="s">
        <v>14</v>
      </c>
      <c r="I78" s="2" t="s">
        <v>15</v>
      </c>
      <c r="N78" s="39"/>
      <c r="Q78" t="s">
        <v>58</v>
      </c>
      <c r="U78" s="40"/>
      <c r="V78" s="4">
        <f t="shared" si="7"/>
        <v>318338</v>
      </c>
      <c r="W78" s="4">
        <f t="shared" si="8"/>
        <v>539629</v>
      </c>
      <c r="X78" s="42">
        <f>'BGS PTY25 Cost Alloc'!X78</f>
        <v>17112</v>
      </c>
      <c r="Y78" s="42">
        <f>'BGS PTY25 Cost Alloc'!Y78</f>
        <v>516028</v>
      </c>
      <c r="Z78" s="42">
        <f>'BGS PTY25 Cost Alloc'!Z78</f>
        <v>6489</v>
      </c>
      <c r="AA78" s="4"/>
      <c r="AB78">
        <f t="shared" si="9"/>
        <v>191.39761733058606</v>
      </c>
      <c r="AC78">
        <f t="shared" si="10"/>
        <v>666.56938266941393</v>
      </c>
    </row>
    <row r="79" spans="1:33" x14ac:dyDescent="0.2">
      <c r="A79" s="7"/>
      <c r="B79" s="23" t="s">
        <v>1</v>
      </c>
      <c r="C79" s="57">
        <v>76.900000000000006</v>
      </c>
      <c r="D79" s="138">
        <f>ROUND(C79*$H$307,3)</f>
        <v>94.146000000000001</v>
      </c>
      <c r="E79" s="56">
        <v>62.796999999999997</v>
      </c>
      <c r="F79" s="138">
        <f>ROUND(E79*$H$307,3)</f>
        <v>76.88</v>
      </c>
      <c r="H79" s="28">
        <v>0.80471124620060785</v>
      </c>
      <c r="I79" s="28">
        <v>0.87295825771324864</v>
      </c>
      <c r="L79" s="42"/>
      <c r="N79" s="37"/>
      <c r="O79" s="2"/>
      <c r="P79" s="2"/>
      <c r="Q79" s="2" t="str">
        <f>+Q$13</f>
        <v>RT{1}</v>
      </c>
      <c r="R79" s="2"/>
      <c r="S79" s="2"/>
      <c r="T79" s="2" t="str">
        <f>+T$13</f>
        <v>GST</v>
      </c>
      <c r="U79" s="38"/>
      <c r="V79" s="4">
        <f t="shared" si="7"/>
        <v>372180</v>
      </c>
      <c r="W79" s="4">
        <f t="shared" si="8"/>
        <v>606976</v>
      </c>
      <c r="X79" s="42">
        <f>'BGS PTY25 Cost Alloc'!X79</f>
        <v>16097</v>
      </c>
      <c r="Y79" s="42">
        <f>'BGS PTY25 Cost Alloc'!Y79</f>
        <v>583222</v>
      </c>
      <c r="Z79" s="42">
        <f>'BGS PTY25 Cost Alloc'!Z79</f>
        <v>7657</v>
      </c>
      <c r="AA79" s="4"/>
      <c r="AB79">
        <f t="shared" si="9"/>
        <v>216.96457875457875</v>
      </c>
      <c r="AC79">
        <f t="shared" si="10"/>
        <v>762.19142124542122</v>
      </c>
    </row>
    <row r="80" spans="1:33" x14ac:dyDescent="0.2">
      <c r="A80" s="7"/>
      <c r="B80" s="23" t="s">
        <v>2</v>
      </c>
      <c r="C80" s="57">
        <v>67.45</v>
      </c>
      <c r="D80" s="138">
        <f>ROUND(C80*$H$307,3)</f>
        <v>82.575999999999993</v>
      </c>
      <c r="E80" s="56">
        <v>55.08</v>
      </c>
      <c r="F80" s="138">
        <f>ROUND(E80*$H$307,3)</f>
        <v>67.432000000000002</v>
      </c>
      <c r="H80" s="151">
        <f>H79</f>
        <v>0.80471124620060785</v>
      </c>
      <c r="I80" s="151">
        <f>I79</f>
        <v>0.87295825771324864</v>
      </c>
      <c r="L80" s="116"/>
      <c r="N80" s="39"/>
      <c r="U80" s="40"/>
      <c r="V80" s="4">
        <f t="shared" si="7"/>
        <v>266875</v>
      </c>
      <c r="W80" s="4">
        <f t="shared" si="8"/>
        <v>402770</v>
      </c>
      <c r="X80" s="42">
        <f>'BGS PTY25 Cost Alloc'!X80</f>
        <v>17004</v>
      </c>
      <c r="Y80" s="42">
        <f>'BGS PTY25 Cost Alloc'!Y80</f>
        <v>382306</v>
      </c>
      <c r="Z80" s="42">
        <f>'BGS PTY25 Cost Alloc'!Z80</f>
        <v>3460</v>
      </c>
      <c r="AA80" s="4"/>
      <c r="AB80">
        <f t="shared" si="9"/>
        <v>146.34082532051281</v>
      </c>
      <c r="AC80">
        <f t="shared" si="10"/>
        <v>523.30417467948723</v>
      </c>
    </row>
    <row r="81" spans="1:29" x14ac:dyDescent="0.2">
      <c r="A81" s="7"/>
      <c r="B81" s="23" t="s">
        <v>3</v>
      </c>
      <c r="C81" s="57">
        <v>52.35</v>
      </c>
      <c r="D81" s="138">
        <f>ROUND(C81*$H$307,3)</f>
        <v>64.09</v>
      </c>
      <c r="E81" s="56">
        <v>42.749000000000002</v>
      </c>
      <c r="F81" s="138">
        <f>ROUND(E81*$H$307,3)</f>
        <v>52.335999999999999</v>
      </c>
      <c r="H81" s="151">
        <f>H79</f>
        <v>0.80471124620060785</v>
      </c>
      <c r="I81" s="151">
        <f>I79</f>
        <v>0.87295825771324864</v>
      </c>
      <c r="L81" s="116"/>
      <c r="N81" s="43"/>
      <c r="O81" s="44"/>
      <c r="P81" s="97" t="s">
        <v>26</v>
      </c>
      <c r="Q81" s="4"/>
      <c r="R81" s="4"/>
      <c r="S81" s="97" t="s">
        <v>26</v>
      </c>
      <c r="T81" s="4"/>
      <c r="U81" s="45"/>
      <c r="V81" s="4">
        <f t="shared" si="7"/>
        <v>304343</v>
      </c>
      <c r="W81" s="4">
        <f t="shared" si="8"/>
        <v>483293</v>
      </c>
      <c r="X81" s="42">
        <f>'BGS PTY25 Cost Alloc'!X81</f>
        <v>13008</v>
      </c>
      <c r="Y81" s="42">
        <f>'BGS PTY25 Cost Alloc'!Y81</f>
        <v>466393</v>
      </c>
      <c r="Z81" s="42">
        <f>'BGS PTY25 Cost Alloc'!Z81</f>
        <v>3892</v>
      </c>
      <c r="AA81" s="4"/>
      <c r="AB81">
        <f t="shared" si="9"/>
        <v>173.70648179945056</v>
      </c>
      <c r="AC81">
        <f t="shared" si="10"/>
        <v>613.92951820054941</v>
      </c>
    </row>
    <row r="82" spans="1:29" x14ac:dyDescent="0.2">
      <c r="A82" s="7"/>
      <c r="B82" s="23" t="s">
        <v>4</v>
      </c>
      <c r="C82" s="57">
        <v>48.05</v>
      </c>
      <c r="D82" s="138">
        <f>ROUND(C82*$H$307,3)</f>
        <v>58.826000000000001</v>
      </c>
      <c r="E82" s="56">
        <v>39.238</v>
      </c>
      <c r="F82" s="138">
        <f>ROUND(E82*$H$307,3)</f>
        <v>48.037999999999997</v>
      </c>
      <c r="H82" s="151">
        <f>H79</f>
        <v>0.80471124620060785</v>
      </c>
      <c r="I82" s="151">
        <f>I79</f>
        <v>0.87295825771324864</v>
      </c>
      <c r="L82" s="116"/>
      <c r="N82" s="43"/>
      <c r="O82" s="44"/>
      <c r="P82" s="73" t="s">
        <v>147</v>
      </c>
      <c r="Q82" s="4">
        <f>Q72-Q61</f>
        <v>16452.181700000001</v>
      </c>
      <c r="S82" s="73" t="s">
        <v>147</v>
      </c>
      <c r="T82" s="4">
        <f>T72-T61</f>
        <v>10837.792800000003</v>
      </c>
      <c r="U82" s="40"/>
      <c r="V82" s="4">
        <f t="shared" si="7"/>
        <v>221383</v>
      </c>
      <c r="W82" s="4">
        <f t="shared" si="8"/>
        <v>357929</v>
      </c>
      <c r="X82" s="42">
        <f>'BGS PTY25 Cost Alloc'!X82</f>
        <v>8077</v>
      </c>
      <c r="Y82" s="42">
        <f>'BGS PTY25 Cost Alloc'!Y82</f>
        <v>345534</v>
      </c>
      <c r="Z82" s="42">
        <f>'BGS PTY25 Cost Alloc'!Z82</f>
        <v>4318</v>
      </c>
      <c r="AA82" s="4"/>
      <c r="AB82">
        <f t="shared" si="9"/>
        <v>128.16985863095238</v>
      </c>
      <c r="AC82">
        <f t="shared" si="10"/>
        <v>451.14214136904764</v>
      </c>
    </row>
    <row r="83" spans="1:29" x14ac:dyDescent="0.2">
      <c r="A83" s="7"/>
      <c r="B83" s="23" t="s">
        <v>5</v>
      </c>
      <c r="C83" s="57">
        <v>50.4</v>
      </c>
      <c r="D83" s="138">
        <f>ROUND(C83*$H$307,3)</f>
        <v>61.703000000000003</v>
      </c>
      <c r="E83" s="56">
        <v>41.156999999999996</v>
      </c>
      <c r="F83" s="138">
        <f>ROUND(E83*$H$307,3)</f>
        <v>50.387</v>
      </c>
      <c r="H83" s="151">
        <f>H79</f>
        <v>0.80471124620060785</v>
      </c>
      <c r="I83" s="151">
        <f>I79</f>
        <v>0.87295825771324864</v>
      </c>
      <c r="L83" s="116"/>
      <c r="N83" s="43"/>
      <c r="O83" s="44"/>
      <c r="P83" s="73" t="s">
        <v>150</v>
      </c>
      <c r="Q83" s="117">
        <f>Q82*(E117-E118)</f>
        <v>121464.49431074409</v>
      </c>
      <c r="S83" s="73" t="s">
        <v>150</v>
      </c>
      <c r="T83" s="117">
        <f>T82*(H117-H118)</f>
        <v>73279.348684387514</v>
      </c>
      <c r="U83" s="40"/>
      <c r="V83" s="4">
        <f t="shared" si="7"/>
        <v>138150</v>
      </c>
      <c r="W83" s="4">
        <f t="shared" si="8"/>
        <v>196251</v>
      </c>
      <c r="X83" s="42">
        <f>'BGS PTY25 Cost Alloc'!X83</f>
        <v>10135</v>
      </c>
      <c r="Y83" s="42">
        <f>'BGS PTY25 Cost Alloc'!Y83</f>
        <v>184267</v>
      </c>
      <c r="Z83" s="42">
        <f>'BGS PTY25 Cost Alloc'!Z83</f>
        <v>1849</v>
      </c>
      <c r="AA83" s="4"/>
      <c r="AB83">
        <f t="shared" si="9"/>
        <v>72.271031936813174</v>
      </c>
      <c r="AC83">
        <f t="shared" si="10"/>
        <v>262.12996806318682</v>
      </c>
    </row>
    <row r="84" spans="1:29" x14ac:dyDescent="0.2">
      <c r="A84" s="7"/>
      <c r="B84" s="154" t="s">
        <v>6</v>
      </c>
      <c r="C84" s="322">
        <v>51.65</v>
      </c>
      <c r="D84" s="187">
        <f>ROUND(C84*$H$306,3)</f>
        <v>74.739000000000004</v>
      </c>
      <c r="E84" s="186">
        <v>31.271999999999998</v>
      </c>
      <c r="F84" s="188">
        <f>ROUND(E84*$H$306,3)</f>
        <v>45.250999999999998</v>
      </c>
      <c r="H84" s="107">
        <v>0.80644726193687621</v>
      </c>
      <c r="I84" s="108">
        <v>0.87439400617011898</v>
      </c>
      <c r="L84" s="116"/>
      <c r="N84" s="39"/>
      <c r="Q84" s="3"/>
      <c r="T84" s="3"/>
      <c r="U84" s="40"/>
      <c r="V84" s="4">
        <f t="shared" si="7"/>
        <v>219196</v>
      </c>
      <c r="W84" s="4">
        <f t="shared" si="8"/>
        <v>340748</v>
      </c>
      <c r="X84" s="42">
        <f>'BGS PTY25 Cost Alloc'!X84</f>
        <v>19750</v>
      </c>
      <c r="Y84" s="42">
        <f>'BGS PTY25 Cost Alloc'!Y84</f>
        <v>317416</v>
      </c>
      <c r="Z84" s="42">
        <f>'BGS PTY25 Cost Alloc'!Z84</f>
        <v>3582</v>
      </c>
      <c r="AA84" s="4"/>
      <c r="AB84">
        <f t="shared" si="9"/>
        <v>123.02227793040292</v>
      </c>
      <c r="AC84">
        <f t="shared" si="10"/>
        <v>436.92172206959702</v>
      </c>
    </row>
    <row r="85" spans="1:29" x14ac:dyDescent="0.2">
      <c r="A85" s="7"/>
      <c r="B85" s="158" t="s">
        <v>7</v>
      </c>
      <c r="C85" s="57">
        <v>75.25</v>
      </c>
      <c r="D85" s="138">
        <f>ROUND(C85*$H$306,3)</f>
        <v>108.889</v>
      </c>
      <c r="E85" s="56">
        <v>45.56</v>
      </c>
      <c r="F85" s="189">
        <f>ROUND(E85*$H$306,3)</f>
        <v>65.926000000000002</v>
      </c>
      <c r="H85" s="149">
        <f>H84</f>
        <v>0.80644726193687621</v>
      </c>
      <c r="I85" s="214">
        <f>I84</f>
        <v>0.87439400617011898</v>
      </c>
      <c r="L85" s="116"/>
      <c r="N85" s="43"/>
      <c r="O85" s="44"/>
      <c r="P85" s="93" t="s">
        <v>25</v>
      </c>
      <c r="Q85" s="3"/>
      <c r="R85" s="2"/>
      <c r="S85" s="93" t="s">
        <v>25</v>
      </c>
      <c r="T85" s="3"/>
      <c r="U85" s="38"/>
      <c r="V85" s="4">
        <f t="shared" si="7"/>
        <v>306097</v>
      </c>
      <c r="W85" s="4">
        <f t="shared" si="8"/>
        <v>442246</v>
      </c>
      <c r="X85" s="42">
        <f>'BGS PTY25 Cost Alloc'!X85</f>
        <v>21870</v>
      </c>
      <c r="Y85" s="42">
        <f>'BGS PTY25 Cost Alloc'!Y85</f>
        <v>415033</v>
      </c>
      <c r="Z85" s="42">
        <f>'BGS PTY25 Cost Alloc'!Z85</f>
        <v>5343</v>
      </c>
      <c r="AA85" s="4"/>
      <c r="AB85">
        <f t="shared" si="9"/>
        <v>162.23926167582417</v>
      </c>
      <c r="AC85">
        <f t="shared" si="10"/>
        <v>586.10373832417577</v>
      </c>
    </row>
    <row r="86" spans="1:29" x14ac:dyDescent="0.2">
      <c r="A86" s="7"/>
      <c r="B86" s="158" t="s">
        <v>8</v>
      </c>
      <c r="C86" s="57">
        <v>65.849999999999994</v>
      </c>
      <c r="D86" s="138">
        <f>ROUND(C86*$H$306,3)</f>
        <v>95.287000000000006</v>
      </c>
      <c r="E86" s="56">
        <v>39.869</v>
      </c>
      <c r="F86" s="189">
        <f>ROUND(E86*$H$306,3)</f>
        <v>57.691000000000003</v>
      </c>
      <c r="H86" s="149">
        <f>H84</f>
        <v>0.80644726193687621</v>
      </c>
      <c r="I86" s="214">
        <f>I84</f>
        <v>0.87439400617011898</v>
      </c>
      <c r="L86" s="116"/>
      <c r="N86" s="43"/>
      <c r="O86" s="44"/>
      <c r="P86" s="73" t="s">
        <v>147</v>
      </c>
      <c r="Q86" s="4">
        <f>Q76-Q65</f>
        <v>7216.0330000000031</v>
      </c>
      <c r="S86" s="73" t="s">
        <v>147</v>
      </c>
      <c r="T86" s="4">
        <f>T76-T65</f>
        <v>5504.6831999999995</v>
      </c>
      <c r="U86" s="40"/>
      <c r="V86" s="4">
        <f t="shared" si="7"/>
        <v>357055</v>
      </c>
      <c r="W86" s="4">
        <f t="shared" si="8"/>
        <v>526223</v>
      </c>
      <c r="X86" s="42">
        <f>'BGS PTY25 Cost Alloc'!X86</f>
        <v>15456</v>
      </c>
      <c r="Y86" s="42">
        <f>'BGS PTY25 Cost Alloc'!Y86</f>
        <v>506115</v>
      </c>
      <c r="Z86" s="42">
        <f>'BGS PTY25 Cost Alloc'!Z86</f>
        <v>4652</v>
      </c>
      <c r="AA86" s="4"/>
      <c r="AB86">
        <f t="shared" si="9"/>
        <v>192.19337854853481</v>
      </c>
      <c r="AC86">
        <f t="shared" si="10"/>
        <v>691.08462145146518</v>
      </c>
    </row>
    <row r="87" spans="1:29" x14ac:dyDescent="0.2">
      <c r="A87" s="7"/>
      <c r="B87" s="160" t="s">
        <v>9</v>
      </c>
      <c r="C87" s="323">
        <v>52.8</v>
      </c>
      <c r="D87" s="191">
        <f>ROUND(C87*$H$306,3)</f>
        <v>76.403000000000006</v>
      </c>
      <c r="E87" s="190">
        <v>31.968</v>
      </c>
      <c r="F87" s="192">
        <f>ROUND(E87*$H$306,3)</f>
        <v>46.258000000000003</v>
      </c>
      <c r="H87" s="150">
        <f>H84</f>
        <v>0.80644726193687621</v>
      </c>
      <c r="I87" s="215">
        <f>I84</f>
        <v>0.87439400617011898</v>
      </c>
      <c r="L87" s="116"/>
      <c r="N87" s="53"/>
      <c r="O87" s="54"/>
      <c r="P87" s="98" t="s">
        <v>150</v>
      </c>
      <c r="Q87" s="118">
        <f>Q86*(E113-E114)</f>
        <v>205546.66390137625</v>
      </c>
      <c r="R87" s="48"/>
      <c r="S87" s="98" t="s">
        <v>150</v>
      </c>
      <c r="T87" s="118">
        <f>T86*(H113-H114)</f>
        <v>154159.39041157987</v>
      </c>
      <c r="U87" s="49"/>
      <c r="AA87" s="4"/>
    </row>
    <row r="88" spans="1:29" x14ac:dyDescent="0.2">
      <c r="A88" s="7"/>
      <c r="B88" s="23" t="s">
        <v>10</v>
      </c>
      <c r="C88" s="57">
        <v>50</v>
      </c>
      <c r="D88" s="138">
        <f>ROUND(C88*$H$307,3)</f>
        <v>61.213000000000001</v>
      </c>
      <c r="E88" s="56">
        <v>40.83</v>
      </c>
      <c r="F88" s="138">
        <f>ROUND(E88*$H$307,3)</f>
        <v>49.987000000000002</v>
      </c>
      <c r="H88" s="151">
        <f>H79</f>
        <v>0.80471124620060785</v>
      </c>
      <c r="I88" s="151">
        <f>I79</f>
        <v>0.87295825771324864</v>
      </c>
      <c r="L88" s="116"/>
    </row>
    <row r="89" spans="1:29" x14ac:dyDescent="0.2">
      <c r="A89" s="7"/>
      <c r="B89" s="23" t="s">
        <v>11</v>
      </c>
      <c r="C89" s="57">
        <v>49.55</v>
      </c>
      <c r="D89" s="138">
        <f>ROUND(C89*$H$307,3)</f>
        <v>60.661999999999999</v>
      </c>
      <c r="E89" s="56">
        <v>40.463000000000001</v>
      </c>
      <c r="F89" s="138">
        <f>ROUND(E89*$H$307,3)</f>
        <v>49.536999999999999</v>
      </c>
      <c r="H89" s="151">
        <f>H79</f>
        <v>0.80471124620060785</v>
      </c>
      <c r="I89" s="151">
        <f>I79</f>
        <v>0.87295825771324864</v>
      </c>
      <c r="L89" s="116"/>
    </row>
    <row r="90" spans="1:29" x14ac:dyDescent="0.2">
      <c r="A90" s="7"/>
      <c r="B90" s="23" t="s">
        <v>12</v>
      </c>
      <c r="C90" s="57">
        <v>57.75</v>
      </c>
      <c r="D90" s="138">
        <f>ROUND(C90*$H$307,3)</f>
        <v>70.700999999999993</v>
      </c>
      <c r="E90" s="56">
        <v>47.158999999999999</v>
      </c>
      <c r="F90" s="138">
        <f>ROUND(E90*$H$307,3)</f>
        <v>57.734999999999999</v>
      </c>
      <c r="G90" s="28"/>
      <c r="H90" s="151">
        <f>H79</f>
        <v>0.80471124620060785</v>
      </c>
      <c r="I90" s="151">
        <f>I79</f>
        <v>0.87295825771324864</v>
      </c>
      <c r="L90" s="116"/>
    </row>
    <row r="91" spans="1:29" x14ac:dyDescent="0.2">
      <c r="A91" s="7"/>
      <c r="B91" s="23"/>
      <c r="C91" s="57"/>
      <c r="D91" s="57"/>
      <c r="G91" s="28"/>
      <c r="K91" s="28"/>
      <c r="X91" t="s">
        <v>210</v>
      </c>
    </row>
    <row r="92" spans="1:29" x14ac:dyDescent="0.2">
      <c r="A92" s="6" t="s">
        <v>33</v>
      </c>
      <c r="B92" s="32" t="s">
        <v>22</v>
      </c>
      <c r="C92" s="2"/>
      <c r="D92" s="2"/>
      <c r="E92" s="2" t="str">
        <f>+E$13</f>
        <v>RT{1}</v>
      </c>
      <c r="F92" s="2" t="str">
        <f>+F$13</f>
        <v>RS{2}</v>
      </c>
      <c r="G92" s="2" t="str">
        <f>+G$13</f>
        <v>GS{3}</v>
      </c>
      <c r="H92" s="2" t="str">
        <f>+H$58</f>
        <v>GST {4}</v>
      </c>
      <c r="I92" s="2" t="str">
        <f>+I$13</f>
        <v>OL/SL</v>
      </c>
      <c r="J92" s="2"/>
      <c r="K92" s="2"/>
      <c r="L92" s="2"/>
      <c r="M92" s="2"/>
      <c r="X92" t="s">
        <v>205</v>
      </c>
      <c r="Y92" s="5" t="s">
        <v>13</v>
      </c>
      <c r="Z92" s="5" t="s">
        <v>13</v>
      </c>
      <c r="AA92" s="5" t="s">
        <v>207</v>
      </c>
    </row>
    <row r="93" spans="1:29" x14ac:dyDescent="0.2">
      <c r="A93" s="7"/>
      <c r="C93" s="5"/>
      <c r="D93" s="5"/>
      <c r="E93" s="5"/>
      <c r="F93" s="5"/>
      <c r="X93" s="10" t="s">
        <v>206</v>
      </c>
      <c r="Y93" s="8" t="s">
        <v>207</v>
      </c>
      <c r="Z93" s="8" t="s">
        <v>208</v>
      </c>
      <c r="AA93" s="8" t="s">
        <v>209</v>
      </c>
    </row>
    <row r="94" spans="1:29" x14ac:dyDescent="0.2">
      <c r="A94" s="7"/>
      <c r="B94" s="23" t="s">
        <v>23</v>
      </c>
      <c r="C94" s="58"/>
      <c r="D94" s="58"/>
      <c r="E94" s="131">
        <f>'BGS PTY25 Cost Alloc'!E94</f>
        <v>0.105545</v>
      </c>
      <c r="F94" s="131">
        <f>'BGS PTY25 Cost Alloc'!F94</f>
        <v>0.105545</v>
      </c>
      <c r="G94" s="131">
        <f>'BGS PTY25 Cost Alloc'!G94</f>
        <v>0.105545</v>
      </c>
      <c r="H94" s="131">
        <f>'BGS PTY25 Cost Alloc'!H94</f>
        <v>0.105545</v>
      </c>
      <c r="I94" s="131">
        <f>'BGS PTY25 Cost Alloc'!I94</f>
        <v>0.105545</v>
      </c>
      <c r="J94" s="58"/>
      <c r="K94" s="58"/>
      <c r="L94" s="58"/>
      <c r="M94" s="58"/>
      <c r="W94" t="s">
        <v>181</v>
      </c>
      <c r="X94">
        <v>4</v>
      </c>
      <c r="Y94">
        <f>X94*365*5/7</f>
        <v>1042.8571428571429</v>
      </c>
      <c r="Z94">
        <f>365*24</f>
        <v>8760</v>
      </c>
      <c r="AA94">
        <f>Y94/Z94</f>
        <v>0.11904761904761905</v>
      </c>
    </row>
    <row r="95" spans="1:29" x14ac:dyDescent="0.2">
      <c r="A95" s="7"/>
      <c r="B95" t="s">
        <v>20</v>
      </c>
      <c r="C95" s="59"/>
      <c r="D95" s="59"/>
      <c r="E95" s="59">
        <f>1/(1-E94)</f>
        <v>1.1179992285805322</v>
      </c>
      <c r="F95" s="59">
        <f>1/(1-F94)</f>
        <v>1.1179992285805322</v>
      </c>
      <c r="G95" s="59">
        <f>1/(1-G94)</f>
        <v>1.1179992285805322</v>
      </c>
      <c r="H95" s="59">
        <f>1/(1-H94)</f>
        <v>1.1179992285805322</v>
      </c>
      <c r="I95" s="59">
        <f>1/(1-I94)</f>
        <v>1.1179992285805322</v>
      </c>
      <c r="J95" s="59"/>
      <c r="K95" s="59"/>
      <c r="L95" s="59"/>
      <c r="M95" s="59"/>
      <c r="W95" t="s">
        <v>204</v>
      </c>
      <c r="X95">
        <f>(9*23+10*29)/52</f>
        <v>9.5576923076923084</v>
      </c>
      <c r="Y95">
        <f>X95*365*5/7</f>
        <v>2491.8269230769229</v>
      </c>
      <c r="Z95">
        <f>365*24</f>
        <v>8760</v>
      </c>
      <c r="AA95">
        <f>Y95/Z95</f>
        <v>0.28445512820512819</v>
      </c>
    </row>
    <row r="96" spans="1:29" x14ac:dyDescent="0.2">
      <c r="A96" s="7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</row>
    <row r="97" spans="1:29" x14ac:dyDescent="0.2">
      <c r="A97" s="7"/>
      <c r="B97" t="s">
        <v>263</v>
      </c>
      <c r="C97" s="59"/>
      <c r="D97" s="59"/>
      <c r="E97" s="210">
        <f>ROUND(1-1/E98,6)</f>
        <v>9.6563999999999997E-2</v>
      </c>
      <c r="F97" s="210">
        <f t="shared" ref="F97:I97" si="11">ROUND(1-1/F98,6)</f>
        <v>9.6563999999999997E-2</v>
      </c>
      <c r="G97" s="210">
        <f t="shared" si="11"/>
        <v>9.6563999999999997E-2</v>
      </c>
      <c r="H97" s="210">
        <f t="shared" si="11"/>
        <v>9.6563999999999997E-2</v>
      </c>
      <c r="I97" s="210">
        <f t="shared" si="11"/>
        <v>9.6563999999999997E-2</v>
      </c>
      <c r="J97" s="59"/>
      <c r="K97" s="59"/>
      <c r="L97" s="59"/>
      <c r="M97" s="59"/>
    </row>
    <row r="98" spans="1:29" x14ac:dyDescent="0.2">
      <c r="A98" s="7"/>
      <c r="B98" t="s">
        <v>262</v>
      </c>
      <c r="C98" s="59"/>
      <c r="D98" s="59"/>
      <c r="E98" s="59">
        <v>1.1068848292416877</v>
      </c>
      <c r="F98" s="59">
        <v>1.1068848292416877</v>
      </c>
      <c r="G98" s="59">
        <v>1.1068848292416877</v>
      </c>
      <c r="H98" s="59">
        <v>1.1068848292416877</v>
      </c>
      <c r="I98" s="59">
        <v>1.1068848292416877</v>
      </c>
      <c r="J98" s="59"/>
      <c r="K98" s="59"/>
      <c r="L98" s="59"/>
      <c r="Q98" s="42"/>
      <c r="R98" s="42"/>
      <c r="S98" s="42"/>
      <c r="T98" s="4"/>
    </row>
    <row r="99" spans="1:29" x14ac:dyDescent="0.2">
      <c r="A99" s="7"/>
      <c r="C99" s="59"/>
      <c r="D99" s="59"/>
      <c r="E99" s="59" t="s">
        <v>251</v>
      </c>
      <c r="F99" s="59"/>
      <c r="G99" s="59"/>
      <c r="H99" s="59"/>
      <c r="I99" s="59"/>
      <c r="J99" s="59"/>
      <c r="K99" s="59"/>
      <c r="L99" s="59"/>
      <c r="Q99" s="42"/>
      <c r="R99" s="42"/>
      <c r="S99" s="42"/>
      <c r="T99" s="4"/>
    </row>
    <row r="100" spans="1:29" x14ac:dyDescent="0.2">
      <c r="A100" s="7"/>
      <c r="C100" s="59"/>
      <c r="D100" s="59"/>
      <c r="E100" s="59"/>
      <c r="F100" s="59"/>
      <c r="G100" s="59"/>
      <c r="H100" s="59"/>
      <c r="I100" s="59"/>
      <c r="J100" s="59"/>
      <c r="K100" s="59"/>
      <c r="L100" s="59"/>
    </row>
    <row r="101" spans="1:29" x14ac:dyDescent="0.2">
      <c r="A101" s="7"/>
      <c r="B101" s="31" t="s">
        <v>284</v>
      </c>
      <c r="C101" s="59"/>
      <c r="D101" s="59"/>
      <c r="E101" s="59"/>
      <c r="F101" s="59"/>
      <c r="G101" s="59"/>
      <c r="H101" s="59"/>
      <c r="I101" s="59"/>
      <c r="J101" s="59"/>
      <c r="K101" s="59"/>
      <c r="L101" s="59"/>
    </row>
    <row r="102" spans="1:29" x14ac:dyDescent="0.2">
      <c r="A102" s="7"/>
      <c r="B102" s="31" t="str">
        <f>'BGS PTY25 Cost Alloc'!$B$102</f>
        <v xml:space="preserve"> </v>
      </c>
    </row>
    <row r="103" spans="1:29" ht="15.75" x14ac:dyDescent="0.25">
      <c r="A103" s="7"/>
      <c r="B103" s="504" t="str">
        <f>$B$1</f>
        <v xml:space="preserve">Jersey Central Power &amp; Light </v>
      </c>
      <c r="C103" s="504"/>
      <c r="D103" s="504"/>
      <c r="E103" s="504"/>
      <c r="F103" s="504"/>
      <c r="G103" s="504"/>
      <c r="H103" s="504"/>
      <c r="I103" s="504"/>
      <c r="J103" s="504"/>
      <c r="K103" s="504"/>
      <c r="L103" s="504"/>
    </row>
    <row r="104" spans="1:29" ht="15.75" x14ac:dyDescent="0.25">
      <c r="A104" s="7"/>
      <c r="B104" s="504" t="str">
        <f>$B$2</f>
        <v>Attachment 2</v>
      </c>
      <c r="C104" s="504"/>
      <c r="D104" s="504"/>
      <c r="E104" s="504"/>
      <c r="F104" s="504"/>
      <c r="G104" s="504"/>
      <c r="H104" s="504"/>
      <c r="I104" s="504"/>
      <c r="J104" s="504"/>
      <c r="K104" s="504"/>
      <c r="L104" s="504"/>
    </row>
    <row r="105" spans="1:29" x14ac:dyDescent="0.2">
      <c r="A105" s="7"/>
    </row>
    <row r="106" spans="1:29" x14ac:dyDescent="0.2">
      <c r="A106" s="7"/>
    </row>
    <row r="107" spans="1:29" x14ac:dyDescent="0.2">
      <c r="A107" s="6" t="s">
        <v>34</v>
      </c>
      <c r="B107" s="1" t="s">
        <v>51</v>
      </c>
    </row>
    <row r="108" spans="1:29" x14ac:dyDescent="0.2">
      <c r="A108" s="7"/>
      <c r="B108" s="15" t="s">
        <v>171</v>
      </c>
      <c r="S108" s="446"/>
    </row>
    <row r="109" spans="1:29" x14ac:dyDescent="0.2">
      <c r="A109" s="7"/>
      <c r="B109" s="15" t="s">
        <v>21</v>
      </c>
      <c r="S109" s="92"/>
      <c r="AC109" s="447"/>
    </row>
    <row r="110" spans="1:29" x14ac:dyDescent="0.2">
      <c r="A110" s="7"/>
      <c r="B110" s="1"/>
      <c r="C110" s="2"/>
      <c r="D110" s="2"/>
      <c r="E110" s="2" t="str">
        <f>+E$13</f>
        <v>RT{1}</v>
      </c>
      <c r="F110" s="2" t="str">
        <f>+F$13</f>
        <v>RS{2}</v>
      </c>
      <c r="G110" s="2" t="str">
        <f>+G$13</f>
        <v>GS{3}</v>
      </c>
      <c r="H110" s="2" t="str">
        <f>+H$58</f>
        <v>GST {4}</v>
      </c>
      <c r="I110" s="2" t="str">
        <f>+I$13</f>
        <v>OL/SL</v>
      </c>
      <c r="J110" s="2"/>
      <c r="K110" s="2"/>
      <c r="L110" s="2"/>
      <c r="M110" s="2"/>
      <c r="N110" s="12"/>
      <c r="P110" s="5"/>
      <c r="W110" s="441"/>
      <c r="AC110" s="448"/>
    </row>
    <row r="111" spans="1:29" x14ac:dyDescent="0.2">
      <c r="A111" s="7"/>
      <c r="R111" s="73"/>
      <c r="S111" s="445"/>
      <c r="W111" s="2"/>
      <c r="X111" s="12"/>
      <c r="Z111" s="5"/>
    </row>
    <row r="112" spans="1:29" x14ac:dyDescent="0.2">
      <c r="A112" s="7"/>
      <c r="B112" s="23" t="s">
        <v>17</v>
      </c>
      <c r="C112" s="60"/>
      <c r="D112" s="60"/>
      <c r="E112" s="61">
        <f>(SUMPRODUCT(E20:E23,E65:E68,$D84:$D87,$H84:$H87)*E95+SUMPRODUCT(Q20:Q23,E65:E68,$F84:$F87,$I84:$I87)*E95)/SUM(E65:E68)</f>
        <v>68.254040290095972</v>
      </c>
      <c r="F112" s="61">
        <f>(SUMPRODUCT(F20:F23,F65:F68,$D84:$D87,$H84:$H87)*F95+SUMPRODUCT(R20:R23,F65:F68,$F84:$F87,$I84:$I87)*F95)/SUM(F65:F68)</f>
        <v>68.814772259235951</v>
      </c>
      <c r="G112" s="61">
        <f>(SUMPRODUCT(G20:G23,G65:G68,$D84:$D87,$H84:$H87)*G95+SUMPRODUCT(S20:S23,G65:G68,$F84:$F87,$I84:$I87)*G95)/SUM(G65:G68)</f>
        <v>68.589675777473829</v>
      </c>
      <c r="H112" s="61">
        <f>(SUMPRODUCT(H20:H23,H65:H68,$D84:$D87,$H84:$H87)*H95+SUMPRODUCT(T20:T23,H65:H68,$F84:$F87,$I84:$I87)*H95)/SUM(H65:H68)</f>
        <v>68.759032077806296</v>
      </c>
      <c r="I112" s="61">
        <f>(SUMPRODUCT(I20:I23,I65:I68,$D84:$D87,$H84:$H87)*I95+SUMPRODUCT(U20:U23,I65:I68,$F84:$F87,$I84:$I87)*I95)/SUM(I65:I68)</f>
        <v>60.168855393252556</v>
      </c>
      <c r="J112" s="62"/>
      <c r="K112" s="60"/>
      <c r="L112" s="60"/>
      <c r="M112" s="442"/>
      <c r="Z112" s="257"/>
      <c r="AB112" s="73"/>
      <c r="AC112" s="445"/>
    </row>
    <row r="113" spans="1:30" x14ac:dyDescent="0.2">
      <c r="A113" s="7"/>
      <c r="B113" s="63" t="s">
        <v>41</v>
      </c>
      <c r="C113" s="60"/>
      <c r="D113" s="60"/>
      <c r="E113" s="61">
        <f>(SUMPRODUCT(E20:E23,E65:E68,$D84:$D87,$H84:$H87)*E95)/SUMPRODUCT(E20:E23,E65:E68)</f>
        <v>82.135240405324964</v>
      </c>
      <c r="F113" s="61">
        <f>(SUMPRODUCT(F20:F23,F65:F68,$D84:$D87,$H84:$H87)*F95)/SUMPRODUCT(F20:F23,F65:F68)</f>
        <v>82.296104875652304</v>
      </c>
      <c r="G113" s="61">
        <f>(SUMPRODUCT(G20:G23,G65:G68,$D84:$D87,$H84:$H87)*G95)/SUMPRODUCT(G20:G23,G65:G68)</f>
        <v>81.174374251130871</v>
      </c>
      <c r="H113" s="61">
        <f>(SUMPRODUCT(H20:H23,H65:H68,$D84:$D87,$H84:$H87)*H95)/SUMPRODUCT(H20:H23,H65:H68)</f>
        <v>81.191376044299389</v>
      </c>
      <c r="I113" s="61">
        <f>(SUMPRODUCT(I20:I23,I65:I68,$D84:$D87,$H84:$H87)*I95)/SUMPRODUCT(I20:I23,I65:I68)</f>
        <v>79.855135960576035</v>
      </c>
      <c r="J113" s="62"/>
      <c r="K113" s="60"/>
      <c r="L113" s="60"/>
      <c r="M113" s="442"/>
      <c r="S113" s="448"/>
    </row>
    <row r="114" spans="1:30" x14ac:dyDescent="0.2">
      <c r="A114" s="7"/>
      <c r="B114" s="63" t="s">
        <v>42</v>
      </c>
      <c r="C114" s="60"/>
      <c r="D114" s="60"/>
      <c r="E114" s="61">
        <f>(SUMPRODUCT(Q20:Q23,E65:E68,$F84:$F87,$I84:$I87)*E95)/SUMPRODUCT(Q20:Q23,E65:E68)</f>
        <v>53.650522569170924</v>
      </c>
      <c r="F114" s="61">
        <f>(SUMPRODUCT(R20:R23,F65:F68,$F84:$F87,$I84:$I87)*F95)/SUMPRODUCT(R20:R23,F65:F68)</f>
        <v>53.782177945720782</v>
      </c>
      <c r="G114" s="61">
        <f>(SUMPRODUCT(S20:S23,G65:G68,$F84:$F87,$I84:$I87)*G95)/SUMPRODUCT(S20:S23,G65:G68)</f>
        <v>53.140790306446441</v>
      </c>
      <c r="H114" s="61">
        <f>(SUMPRODUCT(T20:T23,H65:H68,$F84:$F87,$I84:$I87)*H95)/SUMPRODUCT(T20:T23,H65:H68)</f>
        <v>53.186242086439677</v>
      </c>
      <c r="I114" s="61">
        <f>(SUMPRODUCT(U20:U23,I65:I68,$F84:$F87,$I84:$I87)*I95)/SUMPRODUCT(U20:U23,I65:I68)</f>
        <v>52.634034632323043</v>
      </c>
      <c r="J114" s="62"/>
      <c r="K114" s="60"/>
      <c r="L114" s="60"/>
      <c r="M114" s="2"/>
      <c r="N114" s="12"/>
      <c r="P114" s="5"/>
      <c r="W114" s="441"/>
      <c r="AC114" s="448"/>
    </row>
    <row r="115" spans="1:30" x14ac:dyDescent="0.2">
      <c r="A115" s="7"/>
      <c r="C115" s="119"/>
      <c r="D115" s="119"/>
      <c r="E115" s="120"/>
      <c r="F115" s="120"/>
      <c r="G115" s="120"/>
      <c r="H115" s="120"/>
      <c r="I115" s="120"/>
      <c r="J115" s="62"/>
      <c r="K115" s="119"/>
      <c r="L115" s="119"/>
      <c r="R115" s="73"/>
      <c r="S115" s="445"/>
      <c r="W115" s="2"/>
      <c r="X115" s="12"/>
      <c r="Z115" s="5"/>
    </row>
    <row r="116" spans="1:30" x14ac:dyDescent="0.2">
      <c r="A116" s="7"/>
      <c r="B116" s="23" t="s">
        <v>18</v>
      </c>
      <c r="C116" s="60"/>
      <c r="D116" s="60"/>
      <c r="E116" s="61">
        <f>(SUMPRODUCT(E15:E19,E60:E64,$D79:$D83,$H79:$H83)*E95+SUMPRODUCT(Q15:Q19,E60:E64,$F79:$F83,$I79:$I83)*E95+SUMPRODUCT(E24:E26,E69:E71,$D88:$D90,$H88:$H90)*E95+SUMPRODUCT(Q24:Q26,E69:E71,$F88:$F90,$I88:$I90)*E95)/SUM(E60:E64,E69:E71)</f>
        <v>60.60524314307748</v>
      </c>
      <c r="F116" s="61">
        <f>(SUMPRODUCT(F15:F19,F60:F64,$D79:$D83,$H79:$H83)*F95+SUMPRODUCT(R15:R19,F60:F64,$F79:$F83,$I79:$I83)*F95+SUMPRODUCT(F24:F26,F69:F71,$D88:$D90,$H88:$H90)*F95+SUMPRODUCT(R24:R26,F69:F71,$F88:$F90,$I88:$I90)*F95)/SUM(F60:F64,F69:F71)</f>
        <v>60.031500713131564</v>
      </c>
      <c r="G116" s="61">
        <f>(SUMPRODUCT(G15:G19,G60:G64,$D79:$D83,$H79:$H83)*G95+SUMPRODUCT(S15:S19,G60:G64,$F79:$F83,$I79:$I83)*G95+SUMPRODUCT(G24:G26,G69:G71,$D88:$D90,$H88:$H90)*G95+SUMPRODUCT(S24:S26,G69:G71,$F88:$F90,$I88:$I90)*G95)/SUM(G60:G64,G69:G71)</f>
        <v>59.260685906248014</v>
      </c>
      <c r="H116" s="61">
        <f>(SUMPRODUCT(H15:H19,H60:H64,$D79:$D83,$H79:$H83)*H95+SUMPRODUCT(T15:T19,H60:H64,$F79:$F83,$I79:$I83)*H95+SUMPRODUCT(H24:H26,H69:H71,$D88:$D90,$H88:$H90)*H95+SUMPRODUCT(T24:T26,H69:H71,$F88:$F90,$I88:$I90)*H95)/SUM(H60:H64,H69:H71)</f>
        <v>59.238885190063279</v>
      </c>
      <c r="I116" s="61">
        <f>(SUMPRODUCT(I15:I19,I60:I64,$D79:$D83,$H79:$H83)*I95+SUMPRODUCT(U15:U19,I60:I64,$F79:$F83,$I79:$I83)*I95+SUMPRODUCT(I24:I26,I69:I71,$D88:$D90,$H88:$H90)*I95+SUMPRODUCT(U24:U26,I69:I71,$F88:$F90,$I88:$I90)*I95)/SUM(I60:I64,I69:I71)</f>
        <v>57.305721056562291</v>
      </c>
      <c r="J116" s="62"/>
      <c r="K116" s="60"/>
      <c r="L116" s="60"/>
      <c r="M116" s="293"/>
      <c r="Z116" s="257"/>
      <c r="AB116" s="73"/>
      <c r="AC116" s="445"/>
    </row>
    <row r="117" spans="1:30" x14ac:dyDescent="0.2">
      <c r="A117" s="7"/>
      <c r="B117" s="63" t="s">
        <v>41</v>
      </c>
      <c r="C117" s="60"/>
      <c r="D117" s="60"/>
      <c r="E117" s="61">
        <f>(SUMPRODUCT(E15:E19,E60:E64,$D79:$D83,$H79:$H83)*E95+SUMPRODUCT(E24:E26,E69:E71,$D88:$D90,$H88:$H90)*E95)/(SUMPRODUCT(E15:E19,E60:E64)+SUMPRODUCT(E24:E26,E69:E71))</f>
        <v>64.478389197698078</v>
      </c>
      <c r="F117" s="61">
        <f>(SUMPRODUCT(F15:F19,F60:F64,$D79:$D83,$H79:$H83)*F95+SUMPRODUCT(F24:F26,F69:F71,$D88:$D90,$H88:$H90)*F95)/(SUMPRODUCT(F15:F19,F60:F64)+SUMPRODUCT(F24:F26,F69:F71))</f>
        <v>63.658651016055273</v>
      </c>
      <c r="G117" s="61">
        <f>(SUMPRODUCT(G15:G19,G60:G64,$D79:$D83,$H79:$H83)*G95+SUMPRODUCT(G24:G26,G69:G71,$D88:$D90,$H88:$H90)*G95)/(SUMPRODUCT(G15:G19,G60:G64)+SUMPRODUCT(G24:G26,G69:G71))</f>
        <v>62.579897563696356</v>
      </c>
      <c r="H117" s="61">
        <f>(SUMPRODUCT(H15:H19,H60:H64,$D79:$D83,$H79:$H83)*H95+SUMPRODUCT(H24:H26,H69:H71,$D88:$D90,$H88:$H90)*H95)/(SUMPRODUCT(H15:H19,H60:H64)+SUMPRODUCT(H24:H26,H69:H71))</f>
        <v>62.43968864192253</v>
      </c>
      <c r="I117" s="61">
        <f>(SUMPRODUCT(I15:I19,I60:I64,$D79:$D83,$H79:$H83)*I95+SUMPRODUCT(I24:I26,I69:I71,$D88:$D90,$H88:$H90)*I95)/(SUMPRODUCT(I15:I19,I60:I64)+SUMPRODUCT(I24:I26,I69:I71))</f>
        <v>62.423057815375614</v>
      </c>
      <c r="J117" s="62"/>
      <c r="K117" s="60"/>
      <c r="L117" s="60"/>
      <c r="M117" s="442"/>
      <c r="S117" s="448"/>
    </row>
    <row r="118" spans="1:30" x14ac:dyDescent="0.2">
      <c r="A118" s="7"/>
      <c r="B118" s="63" t="s">
        <v>42</v>
      </c>
      <c r="C118" s="60"/>
      <c r="D118" s="60"/>
      <c r="E118" s="61">
        <f>(SUMPRODUCT(Q15:Q19,E60:E64,$F79:$F83,$I79:$I83)*E95+SUMPRODUCT(Q24:Q26,E69:E71,$F88:$F90,$I88:$I90)*E95)/(SUMPRODUCT(Q15:Q19,E60:E64)+SUMPRODUCT(Q24:Q26,E69:E71))</f>
        <v>57.095508524143149</v>
      </c>
      <c r="F118" s="61">
        <f>(SUMPRODUCT(R15:R19,F60:F64,$F79:$F83,$I79:$I83)*F95+SUMPRODUCT(R24:R26,F69:F71,$F88:$F90,$I88:$I90)*F95)/(SUMPRODUCT(R15:R19,F60:F64)+SUMPRODUCT(R24:R26,F69:F71))</f>
        <v>56.491007213437733</v>
      </c>
      <c r="G118" s="61">
        <f>(SUMPRODUCT(S15:S19,G60:G64,$F79:$F83,$I79:$I83)*G95+SUMPRODUCT(S24:S26,G69:G71,$F88:$F90,$I88:$I90)*G95)/(SUMPRODUCT(S15:S19,G60:G64)+SUMPRODUCT(S24:S26,G69:G71))</f>
        <v>55.691228843919369</v>
      </c>
      <c r="H118" s="61">
        <f>(SUMPRODUCT(T15:T19,H60:H64,$F79:$F83,$I79:$I83)*H95+SUMPRODUCT(T24:T26,H69:H71,$F88:$F90,$I88:$I90)*H95)/(SUMPRODUCT(T15:T19,H60:H64)+SUMPRODUCT(T24:T26,H69:H71))</f>
        <v>55.67822438100886</v>
      </c>
      <c r="I118" s="61">
        <f>(SUMPRODUCT(U15:U19,I60:I64,$F79:$F83,$I79:$I83)*I95+SUMPRODUCT(U24:U26,I69:I71,$F88:$F90,$I88:$I90)*I95)/(SUMPRODUCT(U15:U19,I60:I64)+SUMPRODUCT(U24:U26,I69:I71))</f>
        <v>55.126884288890984</v>
      </c>
      <c r="J118" s="62"/>
      <c r="K118" s="60"/>
      <c r="L118" s="60"/>
      <c r="M118" s="2"/>
      <c r="N118" s="12"/>
      <c r="P118" s="5"/>
      <c r="W118" s="441"/>
      <c r="AC118" s="448"/>
    </row>
    <row r="119" spans="1:30" x14ac:dyDescent="0.2">
      <c r="A119" s="7"/>
      <c r="C119" s="119"/>
      <c r="D119" s="119"/>
      <c r="E119" s="120"/>
      <c r="F119" s="120"/>
      <c r="G119" s="120"/>
      <c r="H119" s="120"/>
      <c r="I119" s="120"/>
      <c r="J119" s="62"/>
      <c r="K119" s="119"/>
      <c r="L119" s="119"/>
      <c r="R119" s="73"/>
      <c r="S119" s="445"/>
      <c r="W119" s="2"/>
      <c r="X119" s="12"/>
      <c r="Z119" s="5"/>
    </row>
    <row r="120" spans="1:30" x14ac:dyDescent="0.2">
      <c r="A120" s="7"/>
      <c r="B120" t="s">
        <v>16</v>
      </c>
      <c r="C120" s="60"/>
      <c r="D120" s="64"/>
      <c r="E120" s="65">
        <f>(E112*SUM(E65:E68)+E116*SUM(E60:E64,E69:E71))/E72</f>
        <v>63.21191939330545</v>
      </c>
      <c r="F120" s="65">
        <f>(F112*SUM(F65:F68)+F116*SUM(F60:F64,F69:F71))/F72</f>
        <v>63.705283782664729</v>
      </c>
      <c r="G120" s="65">
        <f>(G112*SUM(G65:G68)+G116*SUM(G60:G64,G69:G71))/G72</f>
        <v>62.621608375490268</v>
      </c>
      <c r="H120" s="65">
        <f>(H112*SUM(H65:H68)+H116*SUM(H60:H64,H69:H71))/H72</f>
        <v>62.313321296063592</v>
      </c>
      <c r="I120" s="65">
        <f>(I112*SUM(I65:I68)+I116*SUM(I60:I64,I69:I71))/I72</f>
        <v>58.260343786033644</v>
      </c>
      <c r="J120" s="62"/>
      <c r="K120" s="64"/>
      <c r="L120" s="64"/>
      <c r="M120" s="442"/>
      <c r="Z120" s="257"/>
      <c r="AB120" s="73"/>
      <c r="AC120" s="445"/>
      <c r="AD120" s="257"/>
    </row>
    <row r="121" spans="1:30" x14ac:dyDescent="0.2">
      <c r="A121" s="7"/>
      <c r="C121" s="60"/>
      <c r="D121" s="64"/>
      <c r="E121" s="64"/>
      <c r="F121" s="64"/>
      <c r="G121" s="64"/>
      <c r="H121" s="64"/>
      <c r="I121" s="64"/>
      <c r="J121" s="64"/>
      <c r="K121" s="64"/>
      <c r="L121" s="64"/>
      <c r="M121" s="442"/>
      <c r="S121" s="448"/>
    </row>
    <row r="122" spans="1:30" x14ac:dyDescent="0.2">
      <c r="A122" s="7"/>
      <c r="B122" t="s">
        <v>44</v>
      </c>
      <c r="C122" s="60">
        <f>SUMPRODUCT(C120:I120,C72:I72)/SUM(C72:I72)</f>
        <v>63.248618154716304</v>
      </c>
      <c r="D122" s="64"/>
      <c r="E122" s="64"/>
      <c r="F122" s="64"/>
      <c r="G122" s="64"/>
      <c r="H122" s="64"/>
      <c r="I122" s="64"/>
      <c r="J122" s="64"/>
      <c r="K122" s="64"/>
      <c r="L122" s="64"/>
      <c r="M122" s="2"/>
      <c r="N122" s="12"/>
      <c r="P122" s="5"/>
      <c r="W122" s="441"/>
      <c r="AC122" s="448"/>
    </row>
    <row r="123" spans="1:30" x14ac:dyDescent="0.2">
      <c r="A123" s="7"/>
      <c r="C123" s="60"/>
      <c r="D123" s="64"/>
      <c r="E123" s="64"/>
      <c r="F123" s="64"/>
      <c r="G123" s="64"/>
      <c r="H123" s="64"/>
      <c r="I123" s="64"/>
      <c r="J123" s="64"/>
      <c r="K123" s="64"/>
      <c r="L123" s="64"/>
      <c r="R123" s="73"/>
      <c r="S123" s="445"/>
      <c r="W123" s="2"/>
      <c r="X123" s="12"/>
      <c r="Z123" s="5"/>
    </row>
    <row r="124" spans="1:30" x14ac:dyDescent="0.2">
      <c r="A124" s="7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442"/>
      <c r="Z124" s="257"/>
      <c r="AB124" s="73"/>
      <c r="AC124" s="445"/>
      <c r="AD124" s="257"/>
    </row>
    <row r="125" spans="1:30" x14ac:dyDescent="0.2">
      <c r="A125" s="6" t="s">
        <v>35</v>
      </c>
      <c r="B125" s="1" t="s">
        <v>49</v>
      </c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442"/>
      <c r="S125" s="448"/>
    </row>
    <row r="126" spans="1:30" x14ac:dyDescent="0.2">
      <c r="A126" s="7"/>
      <c r="B126" s="15" t="s">
        <v>172</v>
      </c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2"/>
      <c r="N126" s="12"/>
      <c r="P126" s="5"/>
      <c r="W126" s="441"/>
      <c r="AC126" s="448"/>
    </row>
    <row r="127" spans="1:30" x14ac:dyDescent="0.2">
      <c r="A127" s="7"/>
      <c r="B127" s="15" t="s">
        <v>43</v>
      </c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R127" s="73"/>
      <c r="S127" s="445"/>
      <c r="W127" s="2"/>
      <c r="X127" s="12"/>
      <c r="Z127" s="5"/>
    </row>
    <row r="128" spans="1:30" x14ac:dyDescent="0.2">
      <c r="A128" s="7"/>
      <c r="B128" s="1"/>
      <c r="C128" s="2"/>
      <c r="D128" s="2"/>
      <c r="E128" s="2" t="str">
        <f>+E$13</f>
        <v>RT{1}</v>
      </c>
      <c r="F128" s="2" t="str">
        <f>+F$13</f>
        <v>RS{2}</v>
      </c>
      <c r="G128" s="2" t="str">
        <f>+G$13</f>
        <v>GS{3}</v>
      </c>
      <c r="H128" s="2" t="str">
        <f>+H$58</f>
        <v>GST {4}</v>
      </c>
      <c r="I128" s="2" t="str">
        <f>+I$13</f>
        <v>OL/SL</v>
      </c>
      <c r="J128" s="2" t="s">
        <v>13</v>
      </c>
      <c r="K128" s="2"/>
      <c r="L128" s="2"/>
      <c r="M128" s="2"/>
      <c r="Z128" s="257"/>
      <c r="AB128" s="73"/>
      <c r="AC128" s="445"/>
      <c r="AD128" s="257"/>
    </row>
    <row r="129" spans="1:30" x14ac:dyDescent="0.2">
      <c r="A129" s="7"/>
      <c r="C129" s="3"/>
      <c r="M129" s="441"/>
      <c r="S129" s="448"/>
    </row>
    <row r="130" spans="1:30" x14ac:dyDescent="0.2">
      <c r="A130" s="7"/>
      <c r="B130" s="23" t="s">
        <v>17</v>
      </c>
      <c r="C130" s="62"/>
      <c r="D130" s="62"/>
      <c r="E130" s="62">
        <f>SUM(E65:E68)*E112/1000</f>
        <v>4065.756672000437</v>
      </c>
      <c r="F130" s="62">
        <f>SUM(F65:F68)*F112/1000</f>
        <v>277716.18929523206</v>
      </c>
      <c r="G130" s="62">
        <f>SUM(G65:G68)*G112/1000</f>
        <v>143460.10816589094</v>
      </c>
      <c r="H130" s="62">
        <f>SUM(H65:H68)*H112/1000</f>
        <v>3709.6185396297278</v>
      </c>
      <c r="I130" s="62">
        <f>SUM(I65:I68)*I112/1000</f>
        <v>2426.3692625883027</v>
      </c>
      <c r="J130" s="62">
        <f>SUM(E130:I130)</f>
        <v>431378.04193534155</v>
      </c>
      <c r="K130" s="62"/>
      <c r="L130" s="62"/>
      <c r="M130" s="2"/>
      <c r="N130" s="12"/>
      <c r="P130" s="5"/>
      <c r="W130" s="441"/>
      <c r="AC130" s="448"/>
    </row>
    <row r="131" spans="1:30" x14ac:dyDescent="0.2">
      <c r="A131" s="7"/>
      <c r="B131" s="63" t="s">
        <v>41</v>
      </c>
      <c r="C131" s="62"/>
      <c r="D131" s="62"/>
      <c r="E131" s="62">
        <f>SUMPRODUCT(E65:E68,E20:E23)*E113/1000</f>
        <v>2508.3498643634025</v>
      </c>
      <c r="F131" s="62">
        <f>SUMPRODUCT(F65:F68,F20:F23)*F113/1000</f>
        <v>175095.79066510618</v>
      </c>
      <c r="G131" s="62">
        <f>SUMPRODUCT(G65:G68,G20:G23)*G113/1000</f>
        <v>93564.237676845209</v>
      </c>
      <c r="H131" s="62">
        <f>SUMPRODUCT(H65:H68,H20:H23)*H113/1000</f>
        <v>2435.78063478895</v>
      </c>
      <c r="I131" s="62">
        <f>SUMPRODUCT(I65:I68,I20:I23)*I113/1000</f>
        <v>891.36429301465603</v>
      </c>
      <c r="J131" s="62">
        <f>SUM(E131:I131)</f>
        <v>274495.52313411841</v>
      </c>
      <c r="K131" s="62"/>
      <c r="L131" s="62"/>
      <c r="R131" s="73"/>
      <c r="S131" s="445"/>
      <c r="W131" s="2"/>
      <c r="X131" s="12"/>
      <c r="Z131" s="5"/>
    </row>
    <row r="132" spans="1:30" x14ac:dyDescent="0.2">
      <c r="A132" s="7"/>
      <c r="B132" s="63" t="s">
        <v>42</v>
      </c>
      <c r="C132" s="62"/>
      <c r="D132" s="62"/>
      <c r="E132" s="62">
        <f>SUMPRODUCT(E65:E68,Q20:Q23)*E114/1000</f>
        <v>1557.406807637034</v>
      </c>
      <c r="F132" s="62">
        <f>SUMPRODUCT(F65:F68,R20:R23)*F114/1000</f>
        <v>102620.3986301259</v>
      </c>
      <c r="G132" s="62">
        <f>SUMPRODUCT(G65:G68,S20:S23)*G114/1000</f>
        <v>49895.87048904573</v>
      </c>
      <c r="H132" s="62">
        <f>SUMPRODUCT(H65:H68,T20:T23)*H114/1000</f>
        <v>1273.8379048407776</v>
      </c>
      <c r="I132" s="62">
        <f>SUMPRODUCT(I65:I68,U20:U23)*I114/1000</f>
        <v>1535.0049695736468</v>
      </c>
      <c r="J132" s="62">
        <f>SUM(E132:I132)</f>
        <v>156882.51880122308</v>
      </c>
      <c r="K132" s="62"/>
      <c r="L132" s="62"/>
      <c r="M132" s="443"/>
      <c r="Z132" s="257"/>
      <c r="AB132" s="73"/>
      <c r="AC132" s="445"/>
      <c r="AD132" s="257"/>
    </row>
    <row r="133" spans="1:30" x14ac:dyDescent="0.2">
      <c r="A133" s="7"/>
      <c r="C133" s="66"/>
      <c r="D133" s="66"/>
      <c r="E133" s="66"/>
      <c r="F133" s="66"/>
      <c r="G133" s="66"/>
      <c r="H133" s="66"/>
      <c r="I133" s="66"/>
      <c r="J133" s="62"/>
      <c r="K133" s="66"/>
      <c r="L133" s="66"/>
      <c r="M133" s="441"/>
      <c r="S133" s="448"/>
    </row>
    <row r="134" spans="1:30" x14ac:dyDescent="0.2">
      <c r="A134" s="7"/>
      <c r="B134" s="23" t="s">
        <v>18</v>
      </c>
      <c r="C134" s="66"/>
      <c r="D134" s="66"/>
      <c r="E134" s="66">
        <f>SUM(E60:E64,E69:E71)*E116/1000</f>
        <v>6983.1179306748163</v>
      </c>
      <c r="F134" s="66">
        <f>SUM(F60:F64,F69:F71)*F116/1000</f>
        <v>336947.80877770047</v>
      </c>
      <c r="G134" s="66">
        <f>SUM(G60:G64,G69:G71)*G116/1000</f>
        <v>220097.09122941451</v>
      </c>
      <c r="H134" s="66">
        <f>SUM(H60:H64,H69:H71)*H116/1000</f>
        <v>6700.5695427332475</v>
      </c>
      <c r="I134" s="66">
        <f>SUM(I60:I64,I69:I71)*I116/1000</f>
        <v>4620.044537301108</v>
      </c>
      <c r="J134" s="62">
        <f>SUM(E134:I134)</f>
        <v>575348.6320178241</v>
      </c>
      <c r="K134" s="66"/>
      <c r="L134" s="66"/>
      <c r="M134" s="2"/>
      <c r="N134" s="12"/>
      <c r="P134" s="5"/>
      <c r="W134" s="441"/>
      <c r="AC134" s="448"/>
    </row>
    <row r="135" spans="1:30" x14ac:dyDescent="0.2">
      <c r="A135" s="7"/>
      <c r="B135" s="63" t="s">
        <v>41</v>
      </c>
      <c r="C135" s="62"/>
      <c r="D135" s="62"/>
      <c r="E135" s="62">
        <f>(SUMPRODUCT(E60:E64,E15:E19)+SUMPRODUCT(E69:E71,E24:E26))*E117/1000</f>
        <v>3531.846240218877</v>
      </c>
      <c r="F135" s="62">
        <f>(SUMPRODUCT(F60:F64,F15:F19)+SUMPRODUCT(F69:F71,F24:F26))*F117/1000</f>
        <v>176493.31238874665</v>
      </c>
      <c r="G135" s="62">
        <f>(SUMPRODUCT(G60:G64,G15:G19)+SUMPRODUCT(G69:G71,G24:G26))*G117/1000</f>
        <v>120434.06336783785</v>
      </c>
      <c r="H135" s="62">
        <f>(SUMPRODUCT(H60:H64,H15:H19)+SUMPRODUCT(H69:H71,H24:H26))*H117/1000</f>
        <v>3719.2503996447958</v>
      </c>
      <c r="I135" s="62">
        <f>(SUMPRODUCT(I60:I64,I15:I19)+SUMPRODUCT(I69:I71,I24:I26))*I117/1000</f>
        <v>1502.8746556699882</v>
      </c>
      <c r="J135" s="62">
        <f>SUM(E135:I135)</f>
        <v>305681.3470521181</v>
      </c>
      <c r="K135" s="62"/>
      <c r="L135" s="62"/>
      <c r="P135" s="257"/>
      <c r="R135" s="73"/>
      <c r="S135" s="445"/>
      <c r="W135" s="2"/>
      <c r="X135" s="12"/>
      <c r="Z135" s="5"/>
    </row>
    <row r="136" spans="1:30" x14ac:dyDescent="0.2">
      <c r="A136" s="7"/>
      <c r="B136" s="63" t="s">
        <v>42</v>
      </c>
      <c r="C136" s="62"/>
      <c r="D136" s="62"/>
      <c r="E136" s="62">
        <f>+(SUMPRODUCT(E60:E64,Q15:Q19)+SUMPRODUCT(E69:E71,Q24:Q26))*E118/1000</f>
        <v>3451.2716904559406</v>
      </c>
      <c r="F136" s="62">
        <f>+(SUMPRODUCT(F60:F64,R15:R19)+SUMPRODUCT(F69:F71,R24:R26))*F118/1000</f>
        <v>160454.49638895382</v>
      </c>
      <c r="G136" s="62">
        <f>+(SUMPRODUCT(G60:G64,S15:S19)+SUMPRODUCT(G69:G71,S24:S26))*G118/1000</f>
        <v>99663.027861576702</v>
      </c>
      <c r="H136" s="62">
        <f>+(SUMPRODUCT(H60:H64,T15:T19)+SUMPRODUCT(H69:H71,T24:T26))*H118/1000</f>
        <v>2981.3191430884513</v>
      </c>
      <c r="I136" s="62">
        <f>+(SUMPRODUCT(I60:I64,U15:U19)+SUMPRODUCT(I69:I71,U24:U26))*I118/1000</f>
        <v>3117.1698816311205</v>
      </c>
      <c r="J136" s="62">
        <f>SUM(E136:I136)</f>
        <v>269667.28496570606</v>
      </c>
      <c r="K136" s="62"/>
      <c r="L136" s="62"/>
      <c r="M136" s="444"/>
      <c r="Z136" s="257"/>
      <c r="AB136" s="73"/>
      <c r="AC136" s="445"/>
      <c r="AD136" s="257"/>
    </row>
    <row r="137" spans="1:30" x14ac:dyDescent="0.2">
      <c r="A137" s="7"/>
      <c r="C137" s="119"/>
      <c r="D137" s="119"/>
      <c r="E137" s="119"/>
      <c r="F137" s="119"/>
      <c r="G137" s="119"/>
      <c r="H137" s="119"/>
      <c r="I137" s="119"/>
      <c r="J137" s="62"/>
      <c r="K137" s="119"/>
      <c r="L137" s="119"/>
      <c r="M137" s="441"/>
      <c r="S137" s="448"/>
    </row>
    <row r="138" spans="1:30" x14ac:dyDescent="0.2">
      <c r="A138" s="7"/>
      <c r="B138" t="s">
        <v>16</v>
      </c>
      <c r="C138" s="66"/>
      <c r="D138" s="66"/>
      <c r="E138" s="66">
        <f>+E130+E134</f>
        <v>11048.874602675252</v>
      </c>
      <c r="F138" s="66">
        <f>+F130+F134</f>
        <v>614663.99807293247</v>
      </c>
      <c r="G138" s="66">
        <f>+G130+G134</f>
        <v>363557.19939530548</v>
      </c>
      <c r="H138" s="66">
        <f>+H130+H134</f>
        <v>10410.188082362976</v>
      </c>
      <c r="I138" s="66">
        <f>+I130+I134</f>
        <v>7046.4137998894112</v>
      </c>
      <c r="J138" s="62">
        <f>SUM(E138:I138)</f>
        <v>1006726.6739531655</v>
      </c>
      <c r="K138" s="66"/>
      <c r="L138" s="66"/>
      <c r="M138" s="2"/>
      <c r="N138" s="12"/>
      <c r="P138" s="5"/>
      <c r="W138" s="441"/>
      <c r="AC138" s="448"/>
    </row>
    <row r="139" spans="1:30" x14ac:dyDescent="0.2">
      <c r="A139" s="7"/>
      <c r="P139" s="257"/>
      <c r="R139" s="73"/>
      <c r="S139" s="445"/>
      <c r="W139" s="2"/>
      <c r="X139" s="12"/>
      <c r="Z139" s="5"/>
    </row>
    <row r="140" spans="1:30" x14ac:dyDescent="0.2">
      <c r="A140" s="7"/>
      <c r="B140" t="s">
        <v>44</v>
      </c>
      <c r="C140" s="62">
        <f>SUM(C138:I138)</f>
        <v>1006726.6739531655</v>
      </c>
      <c r="E140" s="67"/>
      <c r="F140" s="60"/>
      <c r="Z140" s="257"/>
      <c r="AB140" s="73"/>
      <c r="AC140" s="445"/>
      <c r="AD140" s="257"/>
    </row>
    <row r="141" spans="1:30" x14ac:dyDescent="0.2">
      <c r="A141" s="7"/>
    </row>
    <row r="142" spans="1:30" x14ac:dyDescent="0.2">
      <c r="A142" s="7"/>
    </row>
    <row r="143" spans="1:30" ht="15.75" x14ac:dyDescent="0.25">
      <c r="A143" s="7"/>
      <c r="B143" s="504" t="str">
        <f>$B$1</f>
        <v xml:space="preserve">Jersey Central Power &amp; Light </v>
      </c>
      <c r="C143" s="504"/>
      <c r="D143" s="504"/>
      <c r="E143" s="504"/>
      <c r="F143" s="504"/>
      <c r="G143" s="504"/>
      <c r="H143" s="504"/>
      <c r="I143" s="504"/>
      <c r="J143" s="504"/>
      <c r="K143" s="504"/>
      <c r="L143" s="504"/>
    </row>
    <row r="144" spans="1:30" ht="15.75" x14ac:dyDescent="0.25">
      <c r="A144" s="7"/>
      <c r="B144" s="504" t="str">
        <f>$B$2</f>
        <v>Attachment 2</v>
      </c>
      <c r="C144" s="504"/>
      <c r="D144" s="504"/>
      <c r="E144" s="504"/>
      <c r="F144" s="504"/>
      <c r="G144" s="504"/>
      <c r="H144" s="504"/>
      <c r="I144" s="504"/>
      <c r="J144" s="504"/>
      <c r="K144" s="504"/>
      <c r="L144" s="504"/>
    </row>
    <row r="145" spans="1:51" x14ac:dyDescent="0.2">
      <c r="A145" s="7"/>
    </row>
    <row r="146" spans="1:51" x14ac:dyDescent="0.2">
      <c r="A146" s="7"/>
    </row>
    <row r="147" spans="1:51" x14ac:dyDescent="0.2">
      <c r="A147" s="6" t="s">
        <v>70</v>
      </c>
      <c r="B147" s="1" t="s">
        <v>71</v>
      </c>
      <c r="C147" s="64"/>
      <c r="Q147" t="s">
        <v>126</v>
      </c>
      <c r="T147" t="s">
        <v>122</v>
      </c>
      <c r="W147" t="s">
        <v>123</v>
      </c>
      <c r="Z147" t="s">
        <v>124</v>
      </c>
    </row>
    <row r="148" spans="1:51" x14ac:dyDescent="0.2">
      <c r="A148" s="7"/>
      <c r="B148" s="15" t="s">
        <v>173</v>
      </c>
      <c r="C148" s="64"/>
      <c r="W148" t="s">
        <v>127</v>
      </c>
      <c r="Z148" t="s">
        <v>128</v>
      </c>
      <c r="AC148" t="s">
        <v>125</v>
      </c>
    </row>
    <row r="149" spans="1:51" x14ac:dyDescent="0.2">
      <c r="A149" s="7"/>
      <c r="B149" s="15" t="s">
        <v>21</v>
      </c>
      <c r="C149" s="64"/>
    </row>
    <row r="150" spans="1:51" x14ac:dyDescent="0.2">
      <c r="A150" s="7"/>
      <c r="B150" s="1"/>
      <c r="C150" s="2"/>
      <c r="D150" s="2"/>
      <c r="E150" s="2" t="str">
        <f>+E$13</f>
        <v>RT{1}</v>
      </c>
      <c r="F150" s="2" t="str">
        <f>+F$13</f>
        <v>RS{2}</v>
      </c>
      <c r="G150" s="2" t="str">
        <f>+G$13</f>
        <v>GS{3}</v>
      </c>
      <c r="H150" s="2" t="str">
        <f>+H$58</f>
        <v>GST {4}</v>
      </c>
      <c r="I150" s="2" t="str">
        <f>+I$13</f>
        <v>OL/SL</v>
      </c>
      <c r="J150" s="2"/>
      <c r="K150" s="2"/>
      <c r="L150" s="2"/>
      <c r="M150" s="2"/>
      <c r="Q150" s="2" t="str">
        <f>+$H150</f>
        <v>GST {4}</v>
      </c>
      <c r="R150" s="2"/>
      <c r="S150" s="2"/>
      <c r="T150" s="2" t="str">
        <f>+$H150</f>
        <v>GST {4}</v>
      </c>
      <c r="U150" s="2"/>
      <c r="V150" s="2"/>
      <c r="W150" s="2" t="str">
        <f>+$H150</f>
        <v>GST {4}</v>
      </c>
      <c r="X150" s="2"/>
      <c r="Z150" s="2" t="str">
        <f>+$H150</f>
        <v>GST {4}</v>
      </c>
      <c r="AA150" s="2"/>
      <c r="AC150" s="2" t="str">
        <f>+$H150</f>
        <v>GST {4}</v>
      </c>
      <c r="AD150" s="2"/>
      <c r="AU150" s="2"/>
      <c r="AV150" s="2"/>
      <c r="AW150" s="2"/>
      <c r="AX150" s="2"/>
      <c r="AY150" s="2"/>
    </row>
    <row r="151" spans="1:51" x14ac:dyDescent="0.2">
      <c r="A151" s="7"/>
      <c r="C151" s="3"/>
    </row>
    <row r="152" spans="1:51" x14ac:dyDescent="0.2">
      <c r="A152" s="7"/>
      <c r="B152" s="23" t="s">
        <v>17</v>
      </c>
      <c r="C152" s="60"/>
      <c r="D152" s="60"/>
      <c r="E152" s="61">
        <f>+E130/SUM(E65:E68)*1000</f>
        <v>68.254040290095972</v>
      </c>
      <c r="F152" s="61">
        <f>+F130/SUM(F65:F68)*1000</f>
        <v>68.814772259235951</v>
      </c>
      <c r="G152" s="61">
        <f>+G130/SUM(G65:G68)*1000</f>
        <v>68.589675777473829</v>
      </c>
      <c r="H152" s="61">
        <f>+H130/SUM(H65:H68)*1000</f>
        <v>68.759032077806296</v>
      </c>
      <c r="I152" s="61">
        <f>+I130/SUM(I65:I68)*1000</f>
        <v>60.168855393252564</v>
      </c>
      <c r="J152" s="60"/>
      <c r="K152" s="60"/>
      <c r="L152" s="60"/>
      <c r="M152" s="60"/>
      <c r="P152" s="10" t="s">
        <v>25</v>
      </c>
      <c r="AU152" s="4"/>
      <c r="AV152" s="4"/>
      <c r="AW152" s="4"/>
      <c r="AX152" s="4"/>
      <c r="AY152" s="4"/>
    </row>
    <row r="153" spans="1:51" x14ac:dyDescent="0.2">
      <c r="A153" s="7"/>
      <c r="B153" s="63" t="s">
        <v>72</v>
      </c>
      <c r="C153" s="62"/>
      <c r="D153" s="62"/>
      <c r="E153" s="61">
        <f>+(E131*1000-X165*AVERAGE(E$113,E$114))/R165</f>
        <v>85.794361933231286</v>
      </c>
      <c r="F153" s="61"/>
      <c r="G153" s="61"/>
      <c r="H153" s="61">
        <f>+(H131*1000-W153*AVERAGE(H$113,H$114))/Q153</f>
        <v>84.338025285631218</v>
      </c>
      <c r="I153" s="61"/>
      <c r="J153" s="62"/>
      <c r="K153" s="62"/>
      <c r="L153" s="60"/>
      <c r="M153" s="60"/>
      <c r="P153" t="s">
        <v>14</v>
      </c>
      <c r="Q153" s="4">
        <f>T65</f>
        <v>24495.801499999998</v>
      </c>
      <c r="R153" s="4"/>
      <c r="T153" s="4">
        <f>T76</f>
        <v>30000.484699999997</v>
      </c>
      <c r="U153" s="4"/>
      <c r="W153" s="4">
        <f>+T153-Q153</f>
        <v>5504.6831999999995</v>
      </c>
      <c r="X153" s="4"/>
      <c r="Z153" s="121">
        <f>+H153*Q153/1000</f>
        <v>2065.9275262988031</v>
      </c>
      <c r="AA153" s="121"/>
      <c r="AX153" s="4"/>
    </row>
    <row r="154" spans="1:51" ht="15" x14ac:dyDescent="0.35">
      <c r="A154" s="7"/>
      <c r="B154" s="63" t="s">
        <v>73</v>
      </c>
      <c r="C154" s="62"/>
      <c r="D154" s="62"/>
      <c r="E154" s="61">
        <f>+(E132*1000-X166*AVERAGE(E$113,E$114))/R166</f>
        <v>56.17572139241846</v>
      </c>
      <c r="F154" s="61"/>
      <c r="G154" s="61"/>
      <c r="H154" s="61">
        <f>+(H132*1000-W154*AVERAGE(H$113,H$114))/Q154</f>
        <v>55.803087299884425</v>
      </c>
      <c r="I154" s="61"/>
      <c r="J154" s="62"/>
      <c r="K154" s="62"/>
      <c r="L154" s="60"/>
      <c r="M154" s="60"/>
      <c r="P154" t="s">
        <v>15</v>
      </c>
      <c r="Q154" s="4">
        <f>T66</f>
        <v>29455.198500000002</v>
      </c>
      <c r="R154" s="4"/>
      <c r="T154" s="4">
        <f>T77</f>
        <v>23950.515300000003</v>
      </c>
      <c r="U154" s="4"/>
      <c r="W154" s="4">
        <f>+T154-Q154</f>
        <v>-5504.6831999999995</v>
      </c>
      <c r="X154" s="4"/>
      <c r="Z154" s="69">
        <f>+H154*Q154/1000</f>
        <v>1643.6910133309248</v>
      </c>
      <c r="AA154" s="69"/>
      <c r="AX154" s="4"/>
    </row>
    <row r="155" spans="1:51" x14ac:dyDescent="0.2">
      <c r="A155" s="7"/>
      <c r="C155" s="66"/>
      <c r="D155" s="66"/>
      <c r="E155" s="65"/>
      <c r="F155" s="65"/>
      <c r="G155" s="65"/>
      <c r="H155" s="65"/>
      <c r="I155" s="65"/>
      <c r="J155" s="66"/>
      <c r="K155" s="66"/>
      <c r="L155" s="66"/>
      <c r="M155" s="66"/>
      <c r="Q155" s="4"/>
      <c r="R155" s="4"/>
      <c r="T155" s="4"/>
      <c r="U155" s="4"/>
      <c r="W155" s="4"/>
      <c r="X155" s="4"/>
      <c r="Z155" s="121">
        <f>+Z154+Z153</f>
        <v>3709.6185396297278</v>
      </c>
      <c r="AA155" s="121"/>
      <c r="AC155" s="3">
        <f>+H130</f>
        <v>3709.6185396297278</v>
      </c>
      <c r="AD155" s="3"/>
    </row>
    <row r="156" spans="1:51" x14ac:dyDescent="0.2">
      <c r="A156" s="7"/>
      <c r="B156" s="23" t="s">
        <v>18</v>
      </c>
      <c r="C156" s="64"/>
      <c r="D156" s="64"/>
      <c r="E156" s="65">
        <f>+E134/SUM(E60:E64,E69:E71)*1000</f>
        <v>60.605243143077473</v>
      </c>
      <c r="F156" s="65">
        <f>+F134/SUM(F60:F64,F69:F71)*1000</f>
        <v>60.031500713131557</v>
      </c>
      <c r="G156" s="65">
        <f>+G134/SUM(G60:G64,G69:G71)*1000</f>
        <v>59.260685906248007</v>
      </c>
      <c r="H156" s="65">
        <f>+H134/SUM(H60:H64,H69:H71)*1000</f>
        <v>59.238885190063279</v>
      </c>
      <c r="I156" s="65">
        <f>+I134/SUM(I60:I64,I69:I71)*1000</f>
        <v>57.305721056562284</v>
      </c>
      <c r="J156" s="64"/>
      <c r="K156" s="64"/>
      <c r="L156" s="64"/>
      <c r="M156" s="64"/>
      <c r="P156" s="10" t="s">
        <v>26</v>
      </c>
      <c r="Q156" s="4"/>
      <c r="R156" s="4"/>
      <c r="T156" s="4"/>
      <c r="U156" s="4"/>
      <c r="W156" s="4"/>
      <c r="X156" s="4"/>
      <c r="Z156" s="121"/>
      <c r="AA156" s="121"/>
      <c r="AC156" s="3"/>
      <c r="AU156" s="4"/>
      <c r="AV156" s="4"/>
      <c r="AW156" s="4"/>
      <c r="AX156" s="4"/>
      <c r="AY156" s="4"/>
    </row>
    <row r="157" spans="1:51" x14ac:dyDescent="0.2">
      <c r="A157" s="7"/>
      <c r="B157" s="63" t="s">
        <v>72</v>
      </c>
      <c r="C157" s="62"/>
      <c r="D157" s="62"/>
      <c r="E157" s="61">
        <f>+(E135*1000-X170*AVERAGE(E$113,E$114))/R170</f>
        <v>63.230967518404128</v>
      </c>
      <c r="F157" s="61"/>
      <c r="G157" s="61"/>
      <c r="H157" s="61">
        <f>+(H135*1000-W157*AVERAGE(H$117,H$118))/Q157</f>
        <v>63.191615768696387</v>
      </c>
      <c r="I157" s="61"/>
      <c r="J157" s="62"/>
      <c r="K157" s="62"/>
      <c r="L157" s="60"/>
      <c r="M157" s="60"/>
      <c r="P157" t="s">
        <v>14</v>
      </c>
      <c r="Q157" s="4">
        <f>T61</f>
        <v>48727.693200000002</v>
      </c>
      <c r="R157" s="4"/>
      <c r="T157" s="4">
        <f>T72</f>
        <v>59565.486000000004</v>
      </c>
      <c r="U157" s="4"/>
      <c r="W157" s="4">
        <f>+T157-Q157</f>
        <v>10837.792800000003</v>
      </c>
      <c r="X157" s="4"/>
      <c r="Z157" s="121">
        <f>+H157*Q157/1000</f>
        <v>3079.1816659893198</v>
      </c>
      <c r="AA157" s="121"/>
      <c r="AC157" s="3"/>
      <c r="AX157" s="4"/>
    </row>
    <row r="158" spans="1:51" ht="15" x14ac:dyDescent="0.35">
      <c r="A158" s="7"/>
      <c r="B158" s="63" t="s">
        <v>73</v>
      </c>
      <c r="C158" s="62"/>
      <c r="D158" s="62"/>
      <c r="E158" s="61">
        <f>+(E136*1000-X171*AVERAGE(E$113,E$114))/R171</f>
        <v>59.191638226737446</v>
      </c>
      <c r="F158" s="61"/>
      <c r="G158" s="61"/>
      <c r="H158" s="61">
        <f>+(H136*1000-W158*AVERAGE(H$117,H$118))/Q158</f>
        <v>56.247310937187336</v>
      </c>
      <c r="I158" s="61"/>
      <c r="J158" s="62"/>
      <c r="K158" s="62"/>
      <c r="L158" s="60"/>
      <c r="M158" s="60"/>
      <c r="P158" t="s">
        <v>15</v>
      </c>
      <c r="Q158" s="4">
        <f>T62</f>
        <v>64383.306799999998</v>
      </c>
      <c r="R158" s="4"/>
      <c r="T158" s="4">
        <f>T73</f>
        <v>53545.513999999996</v>
      </c>
      <c r="U158" s="4"/>
      <c r="W158" s="4">
        <f>+T158-Q158</f>
        <v>-10837.792800000003</v>
      </c>
      <c r="X158" s="4"/>
      <c r="Z158" s="69">
        <f>+H158*Q158/1000</f>
        <v>3621.3878767439278</v>
      </c>
      <c r="AA158" s="69"/>
      <c r="AC158" s="3"/>
      <c r="AX158" s="4"/>
    </row>
    <row r="159" spans="1:51" x14ac:dyDescent="0.2">
      <c r="A159" s="7"/>
      <c r="C159" s="119"/>
      <c r="D159" s="119"/>
      <c r="E159" s="120"/>
      <c r="F159" s="120"/>
      <c r="G159" s="120"/>
      <c r="H159" s="120"/>
      <c r="I159" s="120"/>
      <c r="J159" s="119"/>
      <c r="K159" s="119"/>
      <c r="L159" s="119"/>
      <c r="M159" s="119"/>
      <c r="Z159" s="121">
        <f>+Z158+Z157</f>
        <v>6700.5695427332475</v>
      </c>
      <c r="AA159" s="121"/>
      <c r="AC159" s="3">
        <f>+H134</f>
        <v>6700.5695427332475</v>
      </c>
      <c r="AD159" s="3"/>
    </row>
    <row r="160" spans="1:51" x14ac:dyDescent="0.2">
      <c r="A160" s="7"/>
      <c r="B160" t="s">
        <v>74</v>
      </c>
      <c r="C160" s="60"/>
      <c r="D160" s="60"/>
      <c r="E160" s="61">
        <f>(E152*SUM(E65:E68)+E156*SUM(E60:E64,E69:E71))/E72</f>
        <v>63.211919393305443</v>
      </c>
      <c r="F160" s="61">
        <f>(F152*SUM(F65:F68)+F156*SUM(F60:F64,F69:F71))/F72</f>
        <v>63.705283782664729</v>
      </c>
      <c r="G160" s="61">
        <f>(G152*SUM(G65:G68)+G156*SUM(G60:G64,G69:G71))/G72</f>
        <v>62.621608375490261</v>
      </c>
      <c r="H160" s="61">
        <f>(H152*SUM(H65:H68)+H156*SUM(H60:H64,H69:H71))/H72</f>
        <v>62.313321296063592</v>
      </c>
      <c r="I160" s="61">
        <f>(I152*SUM(I65:I68)+I156*SUM(I60:I64,I69:I71))/I72</f>
        <v>58.260343786033651</v>
      </c>
      <c r="J160" s="60"/>
      <c r="K160" s="60"/>
      <c r="L160" s="60"/>
      <c r="M160" s="60"/>
      <c r="AU160" s="4"/>
      <c r="AV160" s="4"/>
      <c r="AW160" s="4"/>
      <c r="AX160" s="4"/>
      <c r="AY160" s="4"/>
    </row>
    <row r="161" spans="1:51" x14ac:dyDescent="0.2">
      <c r="A161" s="7"/>
      <c r="B161" t="s">
        <v>75</v>
      </c>
      <c r="C161" s="60">
        <f>+C140/SUM(C72:I72)*1000</f>
        <v>63.248618154716304</v>
      </c>
    </row>
    <row r="162" spans="1:51" x14ac:dyDescent="0.2">
      <c r="A162" s="7"/>
      <c r="Q162" s="2" t="str">
        <f>+$E150</f>
        <v>RT{1}</v>
      </c>
      <c r="R162" s="2"/>
      <c r="S162" s="2"/>
      <c r="T162" s="2" t="str">
        <f>+$E150</f>
        <v>RT{1}</v>
      </c>
      <c r="U162" s="2"/>
      <c r="V162" s="2"/>
      <c r="W162" s="2" t="str">
        <f>+$E150</f>
        <v>RT{1}</v>
      </c>
      <c r="X162" s="2"/>
      <c r="Z162" s="2" t="str">
        <f>+$E150</f>
        <v>RT{1}</v>
      </c>
      <c r="AA162" s="2"/>
      <c r="AC162" s="2" t="str">
        <f>+$E150</f>
        <v>RT{1}</v>
      </c>
    </row>
    <row r="163" spans="1:51" x14ac:dyDescent="0.2">
      <c r="A163" s="7"/>
    </row>
    <row r="164" spans="1:51" x14ac:dyDescent="0.2">
      <c r="A164" s="6" t="s">
        <v>76</v>
      </c>
      <c r="B164" s="1" t="s">
        <v>139</v>
      </c>
      <c r="P164" s="10" t="s">
        <v>25</v>
      </c>
      <c r="Q164" s="8" t="s">
        <v>196</v>
      </c>
      <c r="R164" s="8" t="s">
        <v>192</v>
      </c>
      <c r="T164" s="8" t="s">
        <v>196</v>
      </c>
      <c r="U164" s="8" t="s">
        <v>192</v>
      </c>
      <c r="W164" s="8" t="s">
        <v>196</v>
      </c>
      <c r="X164" s="8" t="s">
        <v>192</v>
      </c>
      <c r="Z164" s="8" t="s">
        <v>197</v>
      </c>
      <c r="AC164" s="8" t="s">
        <v>197</v>
      </c>
    </row>
    <row r="165" spans="1:51" x14ac:dyDescent="0.2">
      <c r="A165" s="7"/>
      <c r="B165" s="15" t="str">
        <f>'BGS PTY25 Cost Alloc'!$B$161</f>
        <v>obligations - annual average forecasted for 2026; costs are market estimates</v>
      </c>
      <c r="J165" s="2" t="s">
        <v>299</v>
      </c>
      <c r="P165" t="s">
        <v>14</v>
      </c>
      <c r="Q165" s="4">
        <f>SUMPRODUCT(E38:E41,M65:M68)</f>
        <v>23323.231899999999</v>
      </c>
      <c r="R165" s="4">
        <f>SUMPRODUCT(E38:E41,E65:E68)</f>
        <v>24291.489399999999</v>
      </c>
      <c r="T165" s="4">
        <f>Q76</f>
        <v>30539.264900000002</v>
      </c>
      <c r="U165" s="4">
        <f>T165-($Q$167*$Q165/($Q$165+$Q$166))</f>
        <v>29572.444211930546</v>
      </c>
      <c r="W165" s="4">
        <f>+T165-Q165</f>
        <v>7216.0330000000031</v>
      </c>
      <c r="X165" s="4">
        <f>-Q165+U165</f>
        <v>6249.212311930547</v>
      </c>
      <c r="Z165" s="121">
        <f>+E153*Q165/1000</f>
        <v>2001.0017990812855</v>
      </c>
      <c r="AA165" s="121"/>
      <c r="AU165" s="66"/>
      <c r="AV165" s="66"/>
      <c r="AW165" s="66"/>
      <c r="AX165" s="66"/>
      <c r="AY165" s="66"/>
    </row>
    <row r="166" spans="1:51" ht="15" x14ac:dyDescent="0.35">
      <c r="A166" s="7"/>
      <c r="B166" s="15" t="s">
        <v>77</v>
      </c>
      <c r="C166" s="2"/>
      <c r="D166" s="2"/>
      <c r="E166" s="2" t="str">
        <f>+E$13</f>
        <v>RT{1}</v>
      </c>
      <c r="F166" s="2" t="str">
        <f>+F$13</f>
        <v>RS{2}</v>
      </c>
      <c r="G166" s="2" t="str">
        <f>+G$13</f>
        <v>GS{3}</v>
      </c>
      <c r="H166" s="2" t="str">
        <f>+H$58</f>
        <v>GST {4}</v>
      </c>
      <c r="I166" s="2" t="str">
        <f>+I$13</f>
        <v>OL/SL</v>
      </c>
      <c r="J166" s="2" t="s">
        <v>165</v>
      </c>
      <c r="K166" s="2"/>
      <c r="L166" s="2"/>
      <c r="M166" s="2"/>
      <c r="P166" t="s">
        <v>15</v>
      </c>
      <c r="Q166" s="4">
        <f>SUMPRODUCT(Q38:Q41,M65:M68)</f>
        <v>33873.768100000001</v>
      </c>
      <c r="R166" s="4">
        <f>SUMPRODUCT(Q38:Q41,E65:E68)</f>
        <v>35276.510600000001</v>
      </c>
      <c r="T166" s="4">
        <f>Q77</f>
        <v>29028.735099999998</v>
      </c>
      <c r="U166" s="4">
        <f>T166-($Q$167*$Q166/($Q$165+$Q$166))</f>
        <v>27624.561788069452</v>
      </c>
      <c r="W166" s="4">
        <f>+T166-Q166</f>
        <v>-4845.0330000000031</v>
      </c>
      <c r="X166" s="4">
        <f>-Q166+U166</f>
        <v>-6249.2063119305494</v>
      </c>
      <c r="Z166" s="121">
        <f>+E154*Q166/1000</f>
        <v>1902.883359296992</v>
      </c>
      <c r="AA166" s="69"/>
      <c r="AU166" s="66"/>
      <c r="AV166" s="66"/>
      <c r="AW166" s="66"/>
      <c r="AX166" s="66"/>
      <c r="AY166" s="66"/>
    </row>
    <row r="167" spans="1:51" ht="15" x14ac:dyDescent="0.35">
      <c r="A167" s="7"/>
      <c r="P167" t="s">
        <v>191</v>
      </c>
      <c r="Q167" s="4">
        <f>SUM(W65:W68)/1000</f>
        <v>2370.9940000000001</v>
      </c>
      <c r="R167" s="4"/>
      <c r="T167" s="4">
        <v>0</v>
      </c>
      <c r="U167" s="4">
        <v>0</v>
      </c>
      <c r="W167" s="4">
        <f>+T167-Q167</f>
        <v>-2370.9940000000001</v>
      </c>
      <c r="X167" s="4"/>
      <c r="Z167" s="69">
        <f>+E152*Q167/1000</f>
        <v>161.82992000357584</v>
      </c>
      <c r="AU167" s="66"/>
      <c r="AV167" s="66"/>
      <c r="AW167" s="66"/>
      <c r="AX167" s="66"/>
      <c r="AY167" s="66"/>
    </row>
    <row r="168" spans="1:51" x14ac:dyDescent="0.2">
      <c r="A168" s="7"/>
      <c r="B168" t="s">
        <v>78</v>
      </c>
      <c r="C168" s="71"/>
      <c r="D168" s="71"/>
      <c r="E168" s="71">
        <f>'BGS PTY25 Cost Alloc'!E164</f>
        <v>42.612122937225493</v>
      </c>
      <c r="F168" s="71">
        <f>'BGS PTY25 Cost Alloc'!F164</f>
        <v>3399.2322582823581</v>
      </c>
      <c r="G168" s="71">
        <f>'BGS PTY25 Cost Alloc'!G164</f>
        <v>1128.1962454019545</v>
      </c>
      <c r="H168" s="71">
        <f>'BGS PTY25 Cost Alloc'!H164</f>
        <v>24.219541986131997</v>
      </c>
      <c r="I168" s="71">
        <f>'BGS PTY25 Cost Alloc'!I164</f>
        <v>2.9485309090967301E-2</v>
      </c>
      <c r="J168" s="71">
        <f>SUM(E168:I168)</f>
        <v>4594.2896539167605</v>
      </c>
      <c r="K168" s="71"/>
      <c r="L168" s="71"/>
      <c r="M168" s="71"/>
      <c r="Z168" s="121">
        <f>SUM(Z165:Z167)</f>
        <v>4065.7150783818533</v>
      </c>
      <c r="AA168" s="121"/>
      <c r="AC168" s="3">
        <f>+E130</f>
        <v>4065.756672000437</v>
      </c>
      <c r="AU168" s="66"/>
      <c r="AV168" s="66"/>
      <c r="AW168" s="66"/>
      <c r="AX168" s="66"/>
      <c r="AY168" s="66"/>
    </row>
    <row r="169" spans="1:51" x14ac:dyDescent="0.2">
      <c r="A169" s="7"/>
      <c r="P169" s="10" t="s">
        <v>26</v>
      </c>
      <c r="Q169" s="4"/>
      <c r="R169" s="4"/>
      <c r="T169" s="4"/>
      <c r="U169" s="4"/>
      <c r="W169" s="4"/>
      <c r="X169" s="4"/>
      <c r="AU169" s="66"/>
      <c r="AV169" s="66"/>
      <c r="AW169" s="66"/>
      <c r="AX169" s="66"/>
      <c r="AY169" s="66"/>
    </row>
    <row r="170" spans="1:51" x14ac:dyDescent="0.2">
      <c r="A170" s="7"/>
      <c r="B170" t="s">
        <v>79</v>
      </c>
      <c r="C170" s="72" t="s">
        <v>80</v>
      </c>
      <c r="D170" s="70"/>
      <c r="E170" s="56"/>
      <c r="F170" s="56"/>
      <c r="G170" s="56"/>
      <c r="H170" s="56"/>
      <c r="I170" s="56"/>
      <c r="J170" s="70"/>
      <c r="K170" s="70"/>
      <c r="L170" s="70"/>
      <c r="M170" s="70"/>
      <c r="P170" t="s">
        <v>14</v>
      </c>
      <c r="Q170" s="4">
        <f>SUMPRODUCT(E33:E37,M60:M64)+SUMPRODUCT(E42:E44,M69:M71)</f>
        <v>38323.476999999999</v>
      </c>
      <c r="R170" s="4">
        <f>SUMPRODUCT(E33:E37,E60:E64)+SUMPRODUCT(E42:E44,E69:E71)</f>
        <v>40329.224700000006</v>
      </c>
      <c r="T170" s="4">
        <f>Q72</f>
        <v>54775.6587</v>
      </c>
      <c r="U170" s="4">
        <f>T170-($Q$172*$Q170/($Q$170+$Q$171))</f>
        <v>52784.350093965833</v>
      </c>
      <c r="W170" s="4">
        <f>+T170-Q170</f>
        <v>16452.181700000001</v>
      </c>
      <c r="X170" s="4">
        <f>-Q170+U170</f>
        <v>14460.873093965834</v>
      </c>
      <c r="Z170" s="121">
        <f>+E157*Q170/1000</f>
        <v>2423.2305293793079</v>
      </c>
      <c r="AA170" s="121"/>
      <c r="AC170" s="3"/>
      <c r="AU170" s="66"/>
      <c r="AV170" s="66"/>
      <c r="AW170" s="66"/>
      <c r="AX170" s="66"/>
      <c r="AY170" s="66"/>
    </row>
    <row r="171" spans="1:51" ht="15" x14ac:dyDescent="0.35">
      <c r="A171" s="7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P171" t="s">
        <v>15</v>
      </c>
      <c r="Q171" s="4">
        <f>SUMPRODUCT(Q33:Q37,M60:M64)+SUMPRODUCT(Q42:Q44,M69:M71)</f>
        <v>71208.523000000001</v>
      </c>
      <c r="R171" s="4">
        <f>SUMPRODUCT(Q33:Q37,E60:E64)+SUMPRODUCT(Q42:Q44,E69:E71)</f>
        <v>74893.775299999994</v>
      </c>
      <c r="T171" s="4">
        <f>Q73</f>
        <v>60447.3413</v>
      </c>
      <c r="U171" s="4">
        <f>T171-($Q$172*$Q171/($Q$170+$Q$171))</f>
        <v>56747.307906034162</v>
      </c>
      <c r="W171" s="4">
        <f>+T171-Q171</f>
        <v>-10761.181700000001</v>
      </c>
      <c r="X171" s="4">
        <f>-Q171+U171</f>
        <v>-14461.215093965839</v>
      </c>
      <c r="Z171" s="121">
        <f>+E158*Q171/1000</f>
        <v>4214.9491320763127</v>
      </c>
      <c r="AA171" s="69"/>
      <c r="AC171" s="3"/>
      <c r="AU171" s="66"/>
      <c r="AV171" s="66"/>
      <c r="AW171" s="66"/>
      <c r="AX171" s="66"/>
      <c r="AY171" s="66"/>
    </row>
    <row r="172" spans="1:51" ht="15" x14ac:dyDescent="0.35">
      <c r="A172" s="7"/>
      <c r="B172" t="s">
        <v>81</v>
      </c>
      <c r="I172" s="70"/>
      <c r="J172" s="70"/>
      <c r="K172" s="70"/>
      <c r="L172" s="70"/>
      <c r="M172" s="70"/>
      <c r="P172" t="s">
        <v>191</v>
      </c>
      <c r="Q172" s="4">
        <f>SUM(W60:W64,W69:W71)/1000</f>
        <v>5691.3419999999996</v>
      </c>
      <c r="T172">
        <v>0</v>
      </c>
      <c r="U172" s="4">
        <v>0</v>
      </c>
      <c r="W172" s="4">
        <f>+T172-Q172</f>
        <v>-5691.3419999999996</v>
      </c>
      <c r="X172" s="4"/>
      <c r="Z172" s="69">
        <f>+E156*Q172/1000</f>
        <v>344.92516572040876</v>
      </c>
      <c r="AU172" s="66"/>
      <c r="AV172" s="66"/>
      <c r="AW172" s="66"/>
      <c r="AX172" s="66"/>
      <c r="AY172" s="66"/>
    </row>
    <row r="173" spans="1:51" x14ac:dyDescent="0.2">
      <c r="A173" s="7"/>
      <c r="D173" s="73" t="s">
        <v>82</v>
      </c>
      <c r="E173" s="113">
        <v>122</v>
      </c>
      <c r="G173" s="73" t="s">
        <v>83</v>
      </c>
      <c r="H173" s="74">
        <v>4</v>
      </c>
      <c r="I173" s="70"/>
      <c r="J173" s="70"/>
      <c r="K173" s="70"/>
      <c r="L173" s="70"/>
      <c r="M173" s="70"/>
      <c r="Q173" s="2"/>
      <c r="R173" s="2"/>
      <c r="S173" s="2"/>
      <c r="T173" s="2"/>
      <c r="U173" s="2"/>
      <c r="V173" s="2"/>
      <c r="W173" s="2"/>
      <c r="X173" s="2"/>
      <c r="Z173" s="121">
        <f>SUM(Z170:Z172)</f>
        <v>6983.1048271760292</v>
      </c>
      <c r="AA173" s="121"/>
      <c r="AC173" s="3">
        <f>+E134</f>
        <v>6983.1179306748163</v>
      </c>
      <c r="AU173" s="3"/>
      <c r="AV173" s="3"/>
      <c r="AW173" s="3"/>
      <c r="AX173" s="3"/>
      <c r="AY173" s="3"/>
    </row>
    <row r="174" spans="1:51" ht="15" x14ac:dyDescent="0.35">
      <c r="A174" s="7"/>
      <c r="D174" s="75" t="s">
        <v>84</v>
      </c>
      <c r="E174" s="74">
        <v>244</v>
      </c>
      <c r="G174" s="75" t="s">
        <v>85</v>
      </c>
      <c r="H174" s="74">
        <v>8</v>
      </c>
      <c r="I174" s="70"/>
      <c r="J174" s="70"/>
      <c r="K174" s="70"/>
      <c r="L174" s="70"/>
      <c r="M174" s="70"/>
      <c r="Q174" s="4"/>
      <c r="R174" s="4"/>
      <c r="T174" s="4"/>
      <c r="U174" s="4"/>
      <c r="W174" s="4"/>
      <c r="X174" s="4"/>
      <c r="Z174" s="69"/>
      <c r="AA174" s="69"/>
      <c r="AX174" s="3"/>
    </row>
    <row r="175" spans="1:51" x14ac:dyDescent="0.2">
      <c r="A175" s="7"/>
      <c r="G175" s="73" t="s">
        <v>86</v>
      </c>
      <c r="H175">
        <f>+H173+H174</f>
        <v>12</v>
      </c>
      <c r="I175" s="70"/>
      <c r="J175" s="70"/>
      <c r="K175" s="70"/>
      <c r="L175" s="70"/>
      <c r="M175" s="70"/>
      <c r="Q175" s="4"/>
      <c r="R175" s="4"/>
      <c r="T175" s="4"/>
      <c r="U175" s="4"/>
      <c r="W175" s="4"/>
      <c r="X175" s="4"/>
      <c r="Z175" s="121"/>
      <c r="AA175" s="121"/>
      <c r="AC175" s="3">
        <f>SUM(AC168:AC173)</f>
        <v>11048.874602675252</v>
      </c>
    </row>
    <row r="176" spans="1:51" x14ac:dyDescent="0.2">
      <c r="A176" s="7"/>
      <c r="B176" s="18" t="s">
        <v>158</v>
      </c>
      <c r="C176" s="76"/>
      <c r="D176" s="77"/>
      <c r="K176" s="78"/>
      <c r="Q176" s="4"/>
      <c r="R176" s="4"/>
      <c r="T176" s="4"/>
      <c r="U176" s="4"/>
      <c r="W176" s="4"/>
      <c r="X176" s="4"/>
      <c r="Z176" s="121"/>
      <c r="AA176" s="121"/>
      <c r="AC176" s="3"/>
    </row>
    <row r="177" spans="1:50" x14ac:dyDescent="0.2">
      <c r="A177" s="7"/>
      <c r="B177" s="18"/>
      <c r="C177" s="76"/>
      <c r="D177" s="77"/>
      <c r="K177" s="78"/>
      <c r="Q177" s="4"/>
      <c r="R177" s="4"/>
      <c r="T177" s="4"/>
      <c r="U177" s="4"/>
      <c r="W177" s="4"/>
      <c r="X177" s="4"/>
      <c r="Z177" s="121"/>
      <c r="AA177" s="121"/>
      <c r="AC177" s="3"/>
    </row>
    <row r="178" spans="1:50" x14ac:dyDescent="0.2">
      <c r="A178" s="7"/>
      <c r="D178" s="8" t="s">
        <v>221</v>
      </c>
      <c r="E178" s="8" t="s">
        <v>218</v>
      </c>
      <c r="Q178" s="4"/>
      <c r="R178" s="4"/>
      <c r="T178" s="4"/>
      <c r="U178" s="4"/>
      <c r="W178" s="4"/>
      <c r="X178" s="4"/>
      <c r="Z178" s="121"/>
      <c r="AA178" s="121"/>
      <c r="AC178" s="3"/>
    </row>
    <row r="179" spans="1:50" ht="15" x14ac:dyDescent="0.35">
      <c r="A179" s="7"/>
      <c r="B179" s="18" t="s">
        <v>87</v>
      </c>
      <c r="C179" t="s">
        <v>25</v>
      </c>
      <c r="D179" s="11">
        <v>270.35000000000002</v>
      </c>
      <c r="E179" s="138">
        <f>ROUND(D179*$H$307,3)</f>
        <v>330.97899999999998</v>
      </c>
      <c r="F179" s="77" t="s">
        <v>88</v>
      </c>
      <c r="G179" s="73" t="s">
        <v>162</v>
      </c>
      <c r="H179" s="3">
        <f>ROUND(E179*E173*J$168,0)</f>
        <v>185514834</v>
      </c>
      <c r="I179" s="73"/>
      <c r="J179" s="73"/>
      <c r="K179" s="119"/>
      <c r="Q179" s="4"/>
      <c r="R179" s="4"/>
      <c r="T179" s="4"/>
      <c r="U179" s="4"/>
      <c r="W179" s="4"/>
      <c r="X179" s="4"/>
      <c r="Z179" s="69"/>
      <c r="AA179" s="69"/>
      <c r="AC179" s="3"/>
    </row>
    <row r="180" spans="1:50" ht="15" x14ac:dyDescent="0.35">
      <c r="A180" s="7"/>
      <c r="B180" s="18"/>
      <c r="C180" t="s">
        <v>26</v>
      </c>
      <c r="D180" s="11">
        <v>270.35000000000002</v>
      </c>
      <c r="E180" s="138">
        <f>ROUND(D180*$H$307,3)</f>
        <v>330.97899999999998</v>
      </c>
      <c r="F180" s="77" t="s">
        <v>88</v>
      </c>
      <c r="G180" s="103" t="s">
        <v>163</v>
      </c>
      <c r="H180" s="104">
        <f>ROUND(E180*E174*J$168,0)</f>
        <v>371029668</v>
      </c>
      <c r="I180" s="73"/>
      <c r="J180" s="73"/>
      <c r="K180" s="119"/>
      <c r="Z180" s="121"/>
      <c r="AA180" s="121"/>
      <c r="AC180" s="3"/>
    </row>
    <row r="181" spans="1:50" x14ac:dyDescent="0.2">
      <c r="A181" s="7"/>
      <c r="B181" s="18"/>
      <c r="D181" s="11"/>
      <c r="E181" s="77"/>
      <c r="G181" s="73" t="s">
        <v>164</v>
      </c>
      <c r="H181" s="3">
        <f>SUM(H179:H180)</f>
        <v>556544502</v>
      </c>
      <c r="I181" s="73"/>
      <c r="J181" s="356">
        <f>H181/(C291*1000)</f>
        <v>0.26728515949090786</v>
      </c>
      <c r="K181" s="119"/>
    </row>
    <row r="182" spans="1:50" x14ac:dyDescent="0.2">
      <c r="A182" s="7"/>
      <c r="B182" t="s">
        <v>153</v>
      </c>
      <c r="I182" s="73"/>
      <c r="J182" s="73"/>
      <c r="K182" s="119"/>
    </row>
    <row r="183" spans="1:50" x14ac:dyDescent="0.2">
      <c r="A183" s="7"/>
      <c r="B183" s="15" t="s">
        <v>154</v>
      </c>
      <c r="I183" s="73"/>
      <c r="J183" s="73"/>
      <c r="K183" s="119"/>
    </row>
    <row r="184" spans="1:50" x14ac:dyDescent="0.2">
      <c r="A184" s="7"/>
      <c r="B184" s="15"/>
      <c r="C184" s="88" t="str">
        <f>" ---------- Rate "&amp;C30&amp;" ----------"</f>
        <v xml:space="preserve"> ---------- Rate  ----------</v>
      </c>
      <c r="D184" s="89"/>
      <c r="E184" s="89"/>
      <c r="I184" s="73"/>
      <c r="J184" s="73"/>
      <c r="K184" s="119"/>
    </row>
    <row r="185" spans="1:50" x14ac:dyDescent="0.2">
      <c r="A185" s="7"/>
      <c r="C185" s="8" t="s">
        <v>140</v>
      </c>
      <c r="E185" s="8" t="s">
        <v>141</v>
      </c>
      <c r="I185" s="73"/>
      <c r="J185" s="73"/>
      <c r="K185" s="119"/>
    </row>
    <row r="186" spans="1:50" x14ac:dyDescent="0.2">
      <c r="A186" s="7"/>
      <c r="B186" s="73" t="s">
        <v>142</v>
      </c>
      <c r="C186" s="90"/>
      <c r="E186" s="99">
        <f>SUM(R65/(R65+R66))</f>
        <v>0.5017443036278828</v>
      </c>
      <c r="F186" s="95"/>
      <c r="I186" s="73"/>
      <c r="J186" s="73"/>
      <c r="K186" s="119"/>
      <c r="AX186" s="99"/>
    </row>
    <row r="187" spans="1:50" x14ac:dyDescent="0.2">
      <c r="A187" s="7"/>
      <c r="B187" s="73" t="s">
        <v>144</v>
      </c>
      <c r="C187" s="91"/>
      <c r="E187" s="92">
        <f>1-E186</f>
        <v>0.4982556963721172</v>
      </c>
      <c r="G187" s="4"/>
      <c r="I187" s="73"/>
      <c r="J187" s="73"/>
      <c r="K187" s="119"/>
    </row>
    <row r="188" spans="1:50" x14ac:dyDescent="0.2">
      <c r="A188" s="7"/>
      <c r="B188" s="93" t="s">
        <v>155</v>
      </c>
      <c r="C188" s="94">
        <v>0.86519999999999997</v>
      </c>
      <c r="D188" t="s">
        <v>143</v>
      </c>
      <c r="J188" s="73"/>
      <c r="K188" s="119"/>
    </row>
    <row r="189" spans="1:50" x14ac:dyDescent="0.2">
      <c r="A189"/>
      <c r="J189" s="73"/>
      <c r="K189" s="119"/>
    </row>
    <row r="190" spans="1:50" x14ac:dyDescent="0.2">
      <c r="A190" s="6" t="s">
        <v>89</v>
      </c>
      <c r="B190" s="1" t="s">
        <v>90</v>
      </c>
      <c r="D190" s="8" t="s">
        <v>221</v>
      </c>
      <c r="E190" s="8" t="s">
        <v>218</v>
      </c>
    </row>
    <row r="191" spans="1:50" x14ac:dyDescent="0.2">
      <c r="A191" s="6"/>
      <c r="B191" s="15" t="s">
        <v>307</v>
      </c>
      <c r="D191" s="325">
        <v>2</v>
      </c>
      <c r="F191" t="s">
        <v>92</v>
      </c>
    </row>
    <row r="192" spans="1:50" x14ac:dyDescent="0.2">
      <c r="A192" s="6"/>
      <c r="B192" s="15" t="s">
        <v>310</v>
      </c>
      <c r="D192" s="326">
        <v>21.82</v>
      </c>
      <c r="F192" t="s">
        <v>92</v>
      </c>
    </row>
    <row r="193" spans="1:13" x14ac:dyDescent="0.2">
      <c r="A193" s="7"/>
      <c r="B193" s="15" t="s">
        <v>91</v>
      </c>
      <c r="D193" s="327">
        <f>D191+D192</f>
        <v>23.82</v>
      </c>
      <c r="E193" s="324">
        <f>ROUND(D193*$H$307,3)</f>
        <v>29.161999999999999</v>
      </c>
      <c r="F193" t="s">
        <v>92</v>
      </c>
    </row>
    <row r="194" spans="1:13" x14ac:dyDescent="0.2">
      <c r="A194" s="7"/>
      <c r="B194" s="15"/>
      <c r="F194" s="77"/>
    </row>
    <row r="195" spans="1:13" x14ac:dyDescent="0.2">
      <c r="A195" s="7"/>
      <c r="B195" s="1"/>
      <c r="E195" s="76"/>
      <c r="F195" s="77"/>
    </row>
    <row r="196" spans="1:13" x14ac:dyDescent="0.2">
      <c r="A196" s="6" t="s">
        <v>93</v>
      </c>
      <c r="B196" s="1" t="s">
        <v>167</v>
      </c>
    </row>
    <row r="197" spans="1:13" x14ac:dyDescent="0.2">
      <c r="A197" s="6"/>
      <c r="B197" s="1"/>
    </row>
    <row r="198" spans="1:13" x14ac:dyDescent="0.2">
      <c r="A198" s="6"/>
      <c r="B198" s="1"/>
      <c r="C198" s="2"/>
      <c r="D198" s="2"/>
      <c r="E198" s="2" t="str">
        <f>+E$13</f>
        <v>RT{1}</v>
      </c>
      <c r="F198" s="2" t="str">
        <f>+F$13</f>
        <v>RS{2}</v>
      </c>
      <c r="G198" s="2" t="str">
        <f>+G$13</f>
        <v>GS{3}</v>
      </c>
      <c r="H198" s="132" t="str">
        <f>+H$58</f>
        <v>GST {4}</v>
      </c>
      <c r="I198" s="2" t="str">
        <f>+I$13</f>
        <v>OL/SL</v>
      </c>
      <c r="J198" s="2"/>
    </row>
    <row r="199" spans="1:13" x14ac:dyDescent="0.2">
      <c r="A199" s="6"/>
      <c r="B199" s="1"/>
      <c r="M199" s="257"/>
    </row>
    <row r="200" spans="1:13" x14ac:dyDescent="0.2">
      <c r="A200" s="7"/>
      <c r="B200" s="73" t="s">
        <v>94</v>
      </c>
      <c r="C200" s="122"/>
      <c r="D200" s="122"/>
      <c r="E200" s="123">
        <v>0</v>
      </c>
      <c r="F200" s="123">
        <v>0</v>
      </c>
      <c r="G200" s="123">
        <v>0</v>
      </c>
      <c r="H200" s="123">
        <v>0</v>
      </c>
      <c r="I200" s="123">
        <v>0</v>
      </c>
      <c r="J200" s="122"/>
      <c r="K200" s="122" t="s">
        <v>251</v>
      </c>
      <c r="L200" s="122"/>
      <c r="M200" s="259"/>
    </row>
    <row r="201" spans="1:13" x14ac:dyDescent="0.2">
      <c r="A201" s="7"/>
      <c r="B201" s="73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3"/>
    </row>
    <row r="202" spans="1:13" x14ac:dyDescent="0.2">
      <c r="A202" s="7"/>
      <c r="B202" s="73" t="s">
        <v>131</v>
      </c>
      <c r="C202" s="122"/>
      <c r="D202" s="122"/>
      <c r="E202" s="123">
        <f>$H$181*(E$168/$J$168)/E$72</f>
        <v>29.532188282318735</v>
      </c>
      <c r="F202" s="123">
        <f>$H$181*(F$168/$J$168)/F$72</f>
        <v>42.677605243987976</v>
      </c>
      <c r="G202" s="123">
        <f>$H$181*(G$168/$J$168)/G$72</f>
        <v>23.540606239655318</v>
      </c>
      <c r="H202" s="123">
        <f>$H$181*(H$168/$J$168)/H$72</f>
        <v>17.561830208818471</v>
      </c>
      <c r="I202" s="123">
        <f>$H$181*(I$168/$J$168)/I$72</f>
        <v>2.9531948924207768E-2</v>
      </c>
      <c r="J202" s="122"/>
      <c r="K202" s="122"/>
      <c r="L202" s="122"/>
      <c r="M202" s="122"/>
    </row>
    <row r="203" spans="1:13" x14ac:dyDescent="0.2">
      <c r="A203" s="7"/>
      <c r="B203" s="73" t="s">
        <v>198</v>
      </c>
      <c r="C203" s="122"/>
      <c r="D203" s="122"/>
      <c r="E203" s="123">
        <f>$H$179*(E$168/$J$168)/SUM(E65:E68)</f>
        <v>28.885535422009433</v>
      </c>
      <c r="F203" s="123">
        <f>$H$179*(F$168/$J$168)/SUM(F65:F68)</f>
        <v>34.011171291343793</v>
      </c>
      <c r="G203" s="123">
        <f>$H$179*(G$168/$J$168)/SUM(G65:G68)</f>
        <v>21.78073422619714</v>
      </c>
      <c r="H203" s="123"/>
      <c r="I203" s="123">
        <f>$H$179*(I$168/$J$168)/SUM(I65:I68)</f>
        <v>2.9524381511813361E-2</v>
      </c>
      <c r="J203" s="122"/>
      <c r="K203" s="122"/>
      <c r="L203" s="122"/>
      <c r="M203" s="122"/>
    </row>
    <row r="204" spans="1:13" x14ac:dyDescent="0.2">
      <c r="A204" s="7"/>
      <c r="B204" s="73" t="s">
        <v>199</v>
      </c>
      <c r="C204" s="122"/>
      <c r="D204" s="122"/>
      <c r="E204" s="123">
        <f>$H$179*(E$168/$J$168)/R165</f>
        <v>70.833597137039192</v>
      </c>
      <c r="F204" s="123"/>
      <c r="G204" s="123"/>
      <c r="H204" s="123">
        <f>$H$179*(H$168/$J$168)/Q153</f>
        <v>39.924045464765761</v>
      </c>
      <c r="I204" s="123"/>
      <c r="J204" s="122"/>
      <c r="K204" s="122"/>
      <c r="L204" s="122"/>
      <c r="M204" s="122"/>
    </row>
    <row r="205" spans="1:13" x14ac:dyDescent="0.2">
      <c r="A205" s="7"/>
      <c r="B205" s="73" t="s">
        <v>201</v>
      </c>
      <c r="C205" s="122"/>
      <c r="D205" s="122"/>
      <c r="E205" s="123">
        <f>$H$180*(E$168/$J$168)/(E72-SUM(E65:E68))</f>
        <v>29.866494953581455</v>
      </c>
      <c r="F205" s="123">
        <f>$H$180*(F$168/$J$168)/(F72-SUM(F65:F68))</f>
        <v>48.908874474644392</v>
      </c>
      <c r="G205" s="123">
        <f>$H$180*(G$168/$J$168)/(G72-SUM(G65:G68))</f>
        <v>24.531679730389747</v>
      </c>
      <c r="H205" s="123"/>
      <c r="I205" s="123">
        <f>$H$180*(I$168/$J$168)/(I72-SUM(I65:I68))</f>
        <v>2.953573408529752E-2</v>
      </c>
      <c r="J205" s="122"/>
      <c r="K205" s="122"/>
      <c r="L205" s="122"/>
      <c r="M205" s="122"/>
    </row>
    <row r="206" spans="1:13" x14ac:dyDescent="0.2">
      <c r="A206" s="7"/>
      <c r="B206" s="73" t="s">
        <v>200</v>
      </c>
      <c r="C206" s="122"/>
      <c r="D206" s="122"/>
      <c r="E206" s="123">
        <f>$H$180*(E$168/$J$168)/R170</f>
        <v>85.330357169908979</v>
      </c>
      <c r="F206" s="124"/>
      <c r="G206" s="124"/>
      <c r="H206" s="123">
        <f>$H$180*(H$168/$J$168)/Q157</f>
        <v>40.140274597767217</v>
      </c>
      <c r="I206" s="123"/>
      <c r="J206" s="122"/>
      <c r="K206" s="122"/>
      <c r="L206" s="122"/>
      <c r="M206" s="122"/>
    </row>
    <row r="207" spans="1:13" x14ac:dyDescent="0.2">
      <c r="A207" s="7"/>
      <c r="B207" s="73"/>
      <c r="C207" s="122"/>
      <c r="D207" s="122"/>
      <c r="E207" s="123"/>
      <c r="F207" s="123"/>
      <c r="G207" s="123"/>
      <c r="H207" s="123"/>
      <c r="I207" s="123"/>
      <c r="J207" s="122"/>
      <c r="K207" s="122"/>
      <c r="L207" s="122"/>
      <c r="M207" s="122"/>
    </row>
    <row r="208" spans="1:13" ht="15.75" x14ac:dyDescent="0.25">
      <c r="A208" s="7"/>
      <c r="B208" s="504" t="str">
        <f>$B$1</f>
        <v xml:space="preserve">Jersey Central Power &amp; Light </v>
      </c>
      <c r="C208" s="504"/>
      <c r="D208" s="504"/>
      <c r="E208" s="504"/>
      <c r="F208" s="504"/>
      <c r="G208" s="504"/>
      <c r="H208" s="504"/>
      <c r="I208" s="504"/>
      <c r="J208" s="504"/>
      <c r="K208" s="504"/>
      <c r="L208" s="504"/>
      <c r="M208" s="122"/>
    </row>
    <row r="209" spans="1:18" ht="15.75" x14ac:dyDescent="0.25">
      <c r="A209" s="7"/>
      <c r="B209" s="504" t="str">
        <f>$B$2</f>
        <v>Attachment 2</v>
      </c>
      <c r="C209" s="504"/>
      <c r="D209" s="504"/>
      <c r="E209" s="504"/>
      <c r="F209" s="504"/>
      <c r="G209" s="504"/>
      <c r="H209" s="504"/>
      <c r="I209" s="504"/>
      <c r="J209" s="504"/>
      <c r="K209" s="504"/>
      <c r="L209" s="504"/>
      <c r="M209" s="122"/>
      <c r="N209" s="122"/>
      <c r="O209" s="122"/>
      <c r="P209" s="122"/>
      <c r="Q209" s="122"/>
      <c r="R209" s="122"/>
    </row>
    <row r="210" spans="1:18" x14ac:dyDescent="0.2">
      <c r="A210" s="7"/>
      <c r="E210" s="122"/>
      <c r="F210" s="122"/>
      <c r="G210" s="122"/>
      <c r="H210" s="122"/>
      <c r="K210" s="122"/>
      <c r="L210" s="122"/>
      <c r="M210" s="122"/>
      <c r="N210" s="122"/>
      <c r="O210" s="122"/>
      <c r="P210" s="122"/>
      <c r="Q210" s="122"/>
      <c r="R210" s="122"/>
    </row>
    <row r="211" spans="1:18" x14ac:dyDescent="0.2">
      <c r="A211" s="7"/>
      <c r="M211" s="122"/>
      <c r="N211" s="122"/>
      <c r="O211" s="122"/>
      <c r="P211" s="122"/>
      <c r="Q211" s="122"/>
      <c r="R211" s="122"/>
    </row>
    <row r="212" spans="1:18" x14ac:dyDescent="0.2">
      <c r="A212" s="6" t="s">
        <v>95</v>
      </c>
      <c r="B212" s="1" t="s">
        <v>96</v>
      </c>
      <c r="M212" s="122"/>
      <c r="N212" s="122"/>
      <c r="O212" s="122"/>
      <c r="P212" s="122"/>
      <c r="Q212" s="122"/>
      <c r="R212" s="122"/>
    </row>
    <row r="213" spans="1:18" x14ac:dyDescent="0.2">
      <c r="A213" s="7"/>
      <c r="B213" s="1"/>
      <c r="M213" s="122"/>
      <c r="N213" s="122"/>
      <c r="O213" s="122"/>
      <c r="P213" s="122"/>
      <c r="Q213" s="122"/>
      <c r="R213" s="122"/>
    </row>
    <row r="214" spans="1:18" x14ac:dyDescent="0.2">
      <c r="A214" s="7"/>
      <c r="B214" s="1" t="s">
        <v>97</v>
      </c>
      <c r="M214" s="122"/>
      <c r="N214" s="122"/>
      <c r="O214" s="122"/>
      <c r="P214" s="122"/>
      <c r="Q214" s="122"/>
      <c r="R214" s="122"/>
    </row>
    <row r="215" spans="1:18" x14ac:dyDescent="0.2">
      <c r="A215" s="7"/>
      <c r="B215" s="15" t="s">
        <v>351</v>
      </c>
      <c r="M215" s="122"/>
      <c r="N215" s="122"/>
      <c r="O215" s="122"/>
      <c r="P215" s="122"/>
      <c r="Q215" s="122"/>
      <c r="R215" s="122"/>
    </row>
    <row r="216" spans="1:18" x14ac:dyDescent="0.2">
      <c r="A216" s="7"/>
      <c r="B216" s="15" t="s">
        <v>21</v>
      </c>
      <c r="M216" s="122"/>
      <c r="N216" s="122"/>
      <c r="O216" s="122"/>
      <c r="P216" s="122"/>
      <c r="Q216" s="122"/>
      <c r="R216" s="122"/>
    </row>
    <row r="217" spans="1:18" x14ac:dyDescent="0.2">
      <c r="A217" s="7"/>
      <c r="C217" s="2"/>
      <c r="D217" s="2"/>
      <c r="E217" s="2" t="str">
        <f>+E$13</f>
        <v>RT{1}</v>
      </c>
      <c r="F217" s="2" t="str">
        <f>+F$13</f>
        <v>RS{2}</v>
      </c>
      <c r="G217" s="2" t="str">
        <f>+G$13</f>
        <v>GS{3}</v>
      </c>
      <c r="H217" s="132" t="str">
        <f>+H$58</f>
        <v>GST {4}</v>
      </c>
      <c r="I217" s="2" t="str">
        <f>+I$13</f>
        <v>OL/SL</v>
      </c>
      <c r="J217" s="2"/>
      <c r="M217" s="122"/>
      <c r="N217" s="122"/>
      <c r="O217" s="122"/>
      <c r="P217" s="122"/>
      <c r="Q217" s="122"/>
      <c r="R217" s="122"/>
    </row>
    <row r="218" spans="1:18" x14ac:dyDescent="0.2">
      <c r="A218" s="7"/>
      <c r="C218" s="2"/>
      <c r="D218" s="2"/>
      <c r="E218" s="60"/>
      <c r="F218" s="2"/>
      <c r="G218" s="2"/>
      <c r="M218" s="122"/>
      <c r="N218" s="122"/>
      <c r="O218" s="122"/>
      <c r="P218" s="122"/>
      <c r="Q218" s="122"/>
      <c r="R218" s="122"/>
    </row>
    <row r="219" spans="1:18" x14ac:dyDescent="0.2">
      <c r="A219" s="7"/>
      <c r="B219" s="23" t="s">
        <v>17</v>
      </c>
      <c r="C219" s="60"/>
      <c r="D219" s="60"/>
      <c r="E219" s="60">
        <f>+E152+(E$95*$E$193)+E$200+E203</f>
        <v>129.74266921597089</v>
      </c>
      <c r="F219" s="60">
        <f>+F152+(F$95*$E$193)+F$200+F203</f>
        <v>135.42903705444522</v>
      </c>
      <c r="G219" s="60">
        <f>+G152+(G$95*$E$193)+G$200+G203</f>
        <v>122.97350350753645</v>
      </c>
      <c r="H219" s="60"/>
      <c r="I219" s="60">
        <f>+I152+(I$95*$E$193)+I$200+I203</f>
        <v>92.801473278629871</v>
      </c>
      <c r="J219" s="60"/>
      <c r="K219" s="60"/>
      <c r="M219" s="122"/>
      <c r="N219" s="122"/>
      <c r="O219" s="122"/>
      <c r="P219" s="122"/>
      <c r="Q219" s="122"/>
      <c r="R219" s="122"/>
    </row>
    <row r="220" spans="1:18" x14ac:dyDescent="0.2">
      <c r="A220" s="7"/>
      <c r="B220" s="63" t="s">
        <v>72</v>
      </c>
      <c r="C220" s="60"/>
      <c r="D220" s="60"/>
      <c r="E220" s="60">
        <f>+E153+(E$95*$E$193)+E$200+E$204</f>
        <v>189.23105257413596</v>
      </c>
      <c r="F220" s="60"/>
      <c r="G220" s="60"/>
      <c r="H220" s="60">
        <f>+H153+(H$95*$E$193)+H$200+H$204</f>
        <v>156.86516425426245</v>
      </c>
      <c r="I220" s="60"/>
      <c r="J220" s="60"/>
      <c r="M220" s="122"/>
      <c r="N220" s="122"/>
      <c r="O220" s="122"/>
      <c r="P220" s="122"/>
      <c r="Q220" s="122"/>
      <c r="R220" s="122"/>
    </row>
    <row r="221" spans="1:18" x14ac:dyDescent="0.2">
      <c r="A221" s="7"/>
      <c r="B221" s="63" t="s">
        <v>73</v>
      </c>
      <c r="C221" s="60"/>
      <c r="D221" s="60"/>
      <c r="E221" s="60">
        <f>+E154+(E$95*$E$193)+E$200</f>
        <v>88.778814896283933</v>
      </c>
      <c r="F221" s="60"/>
      <c r="G221" s="60"/>
      <c r="H221" s="60">
        <f>+H154+(H$95*$E$193)+H$200</f>
        <v>88.406180803749905</v>
      </c>
      <c r="I221" s="60"/>
      <c r="J221" s="60"/>
      <c r="M221" s="122"/>
      <c r="N221" s="122"/>
      <c r="O221" s="122"/>
      <c r="P221" s="122"/>
      <c r="Q221" s="122"/>
      <c r="R221" s="122"/>
    </row>
    <row r="222" spans="1:18" x14ac:dyDescent="0.2">
      <c r="A222" s="7"/>
      <c r="B222" s="73" t="s">
        <v>142</v>
      </c>
      <c r="C222" s="60"/>
      <c r="D222" s="60"/>
      <c r="E222" s="60"/>
      <c r="F222" s="60">
        <f>(F219*SUM(F65:F68)-C188*10*E187*SUM(F65:F68))/SUM(F65:F68)</f>
        <v>131.11812876943367</v>
      </c>
      <c r="G222" s="60"/>
      <c r="H222" s="60"/>
      <c r="I222" s="60"/>
      <c r="J222" s="60"/>
      <c r="M222" s="122"/>
      <c r="N222" s="122"/>
      <c r="O222" s="122"/>
      <c r="P222" s="122"/>
      <c r="Q222" s="122"/>
      <c r="R222" s="122"/>
    </row>
    <row r="223" spans="1:18" x14ac:dyDescent="0.2">
      <c r="A223" s="7"/>
      <c r="B223" s="73" t="s">
        <v>144</v>
      </c>
      <c r="C223" s="60"/>
      <c r="D223" s="60"/>
      <c r="E223" s="60"/>
      <c r="F223" s="60">
        <f>+F222+C188*10</f>
        <v>139.77012876943365</v>
      </c>
      <c r="G223" s="101"/>
      <c r="H223" s="60"/>
      <c r="I223" s="60"/>
      <c r="J223" s="60"/>
      <c r="M223" s="122"/>
      <c r="N223" s="122"/>
      <c r="O223" s="122"/>
      <c r="P223" s="122"/>
      <c r="Q223" s="122"/>
      <c r="R223" s="122"/>
    </row>
    <row r="224" spans="1:18" x14ac:dyDescent="0.2">
      <c r="A224" s="7"/>
      <c r="C224" s="60"/>
      <c r="D224" s="60"/>
      <c r="E224" s="60"/>
      <c r="F224" s="60"/>
      <c r="G224" s="60"/>
      <c r="H224" s="60"/>
      <c r="I224" s="60"/>
      <c r="J224" s="60"/>
      <c r="M224" s="122"/>
      <c r="N224" s="122"/>
      <c r="O224" s="122"/>
      <c r="P224" s="122"/>
      <c r="Q224" s="122"/>
      <c r="R224" s="122"/>
    </row>
    <row r="225" spans="1:18" x14ac:dyDescent="0.2">
      <c r="A225" s="7"/>
      <c r="B225" s="23" t="s">
        <v>18</v>
      </c>
      <c r="C225" s="60"/>
      <c r="D225" s="60"/>
      <c r="E225" s="60">
        <f>+E156+(E$95*$E$193)+E$200+E205</f>
        <v>123.0748316005244</v>
      </c>
      <c r="F225" s="60">
        <f>+F156+(F$95*$E$193)+F$200+F205</f>
        <v>141.54346869164144</v>
      </c>
      <c r="G225" s="60">
        <f>+G156+(G$95*$E$193)+G$200+G205</f>
        <v>116.39545914050325</v>
      </c>
      <c r="H225" s="60"/>
      <c r="I225" s="60">
        <f>+I156+(I$95*$E$193)+I$200+I205</f>
        <v>89.938350294513072</v>
      </c>
      <c r="J225" s="60"/>
      <c r="K225" s="60"/>
      <c r="M225" s="122"/>
      <c r="N225" s="122"/>
      <c r="O225" s="122"/>
      <c r="P225" s="122"/>
      <c r="Q225" s="122"/>
      <c r="R225" s="122"/>
    </row>
    <row r="226" spans="1:18" x14ac:dyDescent="0.2">
      <c r="A226" s="7"/>
      <c r="B226" s="63" t="s">
        <v>72</v>
      </c>
      <c r="C226" s="60"/>
      <c r="D226" s="60"/>
      <c r="E226" s="60">
        <f>+E157+(E$95*$E$193)+E$200+E$206</f>
        <v>181.16441819217857</v>
      </c>
      <c r="F226" s="60"/>
      <c r="G226" s="60"/>
      <c r="H226" s="60">
        <f>+H157+(H$95*$E$193)+H$200+H$206</f>
        <v>135.93498387032909</v>
      </c>
      <c r="I226" s="60"/>
      <c r="J226" s="60"/>
      <c r="M226" s="122"/>
      <c r="N226" s="122"/>
      <c r="O226" s="122"/>
      <c r="P226" s="122"/>
      <c r="Q226" s="122"/>
      <c r="R226" s="122"/>
    </row>
    <row r="227" spans="1:18" x14ac:dyDescent="0.2">
      <c r="A227" s="7"/>
      <c r="B227" s="63" t="s">
        <v>73</v>
      </c>
      <c r="C227" s="60"/>
      <c r="D227" s="60"/>
      <c r="E227" s="60">
        <f>+E158+(E$95*$E$193)+E$200</f>
        <v>91.794731730602933</v>
      </c>
      <c r="F227" s="60"/>
      <c r="G227" s="60"/>
      <c r="H227" s="60">
        <f>+H158+(H$95*$E$193)+H$200</f>
        <v>88.850404441052817</v>
      </c>
      <c r="I227" s="60"/>
      <c r="J227" s="60"/>
      <c r="M227" s="122"/>
      <c r="N227" s="122"/>
      <c r="O227" s="122"/>
      <c r="P227" s="122"/>
      <c r="Q227" s="122"/>
      <c r="R227" s="122"/>
    </row>
    <row r="228" spans="1:18" x14ac:dyDescent="0.2">
      <c r="A228" s="7"/>
      <c r="C228" s="60"/>
      <c r="D228" s="60"/>
      <c r="E228" s="60"/>
      <c r="F228" s="60"/>
      <c r="G228" s="60"/>
      <c r="H228" s="60"/>
      <c r="I228" s="60"/>
      <c r="J228" s="60"/>
      <c r="M228" s="122"/>
      <c r="N228" s="122"/>
      <c r="O228" s="122"/>
      <c r="P228" s="122"/>
      <c r="Q228" s="122"/>
      <c r="R228" s="122"/>
    </row>
    <row r="229" spans="1:18" x14ac:dyDescent="0.2">
      <c r="A229" s="7"/>
      <c r="B229" t="s">
        <v>98</v>
      </c>
      <c r="C229" s="60"/>
      <c r="D229" s="60"/>
      <c r="E229" s="60">
        <f>+E160+(E$95*$E$193)+E$200+E202</f>
        <v>125.34720117948967</v>
      </c>
      <c r="F229" s="60">
        <f>+F160+(F$95*$E$193)+F$200+F202</f>
        <v>138.98598253051819</v>
      </c>
      <c r="G229" s="60">
        <f>+G160+(G$95*$E$193)+G$200+G202</f>
        <v>118.76530811901105</v>
      </c>
      <c r="H229" s="60">
        <f>((H220*SUMPRODUCT(H38:H41,H65:H68)+H221*SUMPRODUCT(T38:T41,H65:H68))+(H226*(SUMPRODUCT(H33:H37,H60:H64)+SUMPRODUCT(H42:H44,H69:H71))+H227*(SUMPRODUCT(T33:T37,H60:H64)+SUMPRODUCT(T42:T44,H69:H71))))/H72</f>
        <v>112.47824500874754</v>
      </c>
      <c r="I229" s="60">
        <f>+I160+(I$95*$E$193)+I$200+I202</f>
        <v>90.892969238823341</v>
      </c>
      <c r="J229" s="60"/>
      <c r="K229" s="60"/>
      <c r="M229" s="122"/>
      <c r="N229" s="122"/>
      <c r="O229" s="122"/>
      <c r="P229" s="122"/>
      <c r="Q229" s="122"/>
      <c r="R229" s="122"/>
    </row>
    <row r="230" spans="1:18" x14ac:dyDescent="0.2">
      <c r="A230" s="7"/>
      <c r="C230" s="60"/>
      <c r="D230" s="60"/>
      <c r="E230" s="60"/>
      <c r="F230" s="60"/>
      <c r="G230" s="60"/>
      <c r="H230" s="60"/>
      <c r="I230" s="60"/>
      <c r="J230" s="60"/>
      <c r="K230" s="60"/>
      <c r="M230" s="122"/>
      <c r="N230" s="122"/>
      <c r="O230" s="122"/>
      <c r="P230" s="122"/>
      <c r="Q230" s="122"/>
      <c r="R230" s="122"/>
    </row>
    <row r="231" spans="1:18" x14ac:dyDescent="0.2">
      <c r="A231" s="7"/>
      <c r="B231" s="1" t="s">
        <v>99</v>
      </c>
      <c r="M231" s="122"/>
      <c r="N231" s="122"/>
      <c r="O231" s="122"/>
      <c r="P231" s="122"/>
      <c r="Q231" s="122"/>
      <c r="R231" s="122"/>
    </row>
    <row r="232" spans="1:18" x14ac:dyDescent="0.2">
      <c r="A232" s="7"/>
      <c r="B232" s="15" t="s">
        <v>100</v>
      </c>
      <c r="M232" s="122"/>
      <c r="N232" s="122"/>
      <c r="O232" s="122"/>
      <c r="P232" s="122"/>
      <c r="Q232" s="122"/>
      <c r="R232" s="122"/>
    </row>
    <row r="233" spans="1:18" x14ac:dyDescent="0.2">
      <c r="A233" s="7"/>
      <c r="B233" s="15" t="s">
        <v>21</v>
      </c>
      <c r="M233" s="122"/>
      <c r="N233" s="122"/>
      <c r="O233" s="122"/>
      <c r="P233" s="122"/>
      <c r="Q233" s="122"/>
      <c r="R233" s="122"/>
    </row>
    <row r="234" spans="1:18" x14ac:dyDescent="0.2">
      <c r="A234" s="7"/>
      <c r="B234" s="63"/>
      <c r="C234" s="60"/>
      <c r="D234" s="60"/>
      <c r="I234" s="73"/>
      <c r="J234" s="60"/>
      <c r="K234" s="77"/>
      <c r="M234" s="122"/>
    </row>
    <row r="235" spans="1:18" x14ac:dyDescent="0.2">
      <c r="A235" s="7"/>
      <c r="C235" s="60"/>
      <c r="D235" s="60"/>
    </row>
    <row r="236" spans="1:18" x14ac:dyDescent="0.2">
      <c r="A236" s="7"/>
      <c r="B236" s="32" t="s">
        <v>101</v>
      </c>
      <c r="C236" s="60"/>
      <c r="D236" s="60"/>
      <c r="I236" s="80"/>
      <c r="K236" s="77"/>
    </row>
    <row r="237" spans="1:18" x14ac:dyDescent="0.2">
      <c r="A237" s="7"/>
      <c r="B237" s="63"/>
      <c r="C237" s="60"/>
      <c r="D237" s="60"/>
      <c r="I237" s="73"/>
      <c r="J237" s="64"/>
      <c r="K237" s="77"/>
    </row>
    <row r="238" spans="1:18" ht="15.75" x14ac:dyDescent="0.25">
      <c r="A238" s="7"/>
      <c r="B238" s="504" t="str">
        <f>$B$1</f>
        <v xml:space="preserve">Jersey Central Power &amp; Light </v>
      </c>
      <c r="C238" s="504"/>
      <c r="D238" s="504"/>
      <c r="E238" s="504"/>
      <c r="F238" s="504"/>
      <c r="G238" s="504"/>
      <c r="H238" s="504"/>
      <c r="I238" s="504"/>
      <c r="J238" s="504"/>
      <c r="K238" s="504"/>
      <c r="L238" s="504"/>
    </row>
    <row r="239" spans="1:18" ht="15.75" x14ac:dyDescent="0.25">
      <c r="A239" s="7"/>
      <c r="B239" s="504" t="str">
        <f>$B$2</f>
        <v>Attachment 2</v>
      </c>
      <c r="C239" s="504"/>
      <c r="D239" s="504"/>
      <c r="E239" s="504"/>
      <c r="F239" s="504"/>
      <c r="G239" s="504"/>
      <c r="H239" s="504"/>
      <c r="I239" s="504"/>
      <c r="J239" s="504"/>
      <c r="K239" s="504"/>
      <c r="L239" s="504"/>
    </row>
    <row r="240" spans="1:18" ht="15.75" x14ac:dyDescent="0.25">
      <c r="A240" s="7"/>
      <c r="B240" s="140"/>
      <c r="C240" s="140"/>
      <c r="D240" s="140"/>
      <c r="E240" s="140"/>
      <c r="F240" s="140"/>
      <c r="G240" s="140"/>
      <c r="H240" s="140"/>
      <c r="I240" s="140"/>
      <c r="J240" s="140"/>
      <c r="K240" s="140"/>
      <c r="L240" s="140"/>
    </row>
    <row r="241" spans="1:12" ht="15.75" x14ac:dyDescent="0.25">
      <c r="A241" s="6" t="s">
        <v>106</v>
      </c>
      <c r="B241" s="1" t="s">
        <v>238</v>
      </c>
      <c r="C241" s="17"/>
      <c r="E241" s="139"/>
      <c r="F241" s="8"/>
      <c r="K241" s="140"/>
      <c r="L241" s="140"/>
    </row>
    <row r="242" spans="1:12" ht="15.75" x14ac:dyDescent="0.25">
      <c r="B242" t="s">
        <v>239</v>
      </c>
      <c r="K242" s="140"/>
      <c r="L242" s="140"/>
    </row>
    <row r="243" spans="1:12" ht="15.75" x14ac:dyDescent="0.25">
      <c r="E243" s="2" t="s">
        <v>61</v>
      </c>
      <c r="F243" s="2" t="s">
        <v>62</v>
      </c>
      <c r="G243" s="2" t="s">
        <v>65</v>
      </c>
      <c r="H243" s="2" t="s">
        <v>203</v>
      </c>
      <c r="I243" s="2" t="s">
        <v>55</v>
      </c>
      <c r="K243" s="140"/>
      <c r="L243" s="140"/>
    </row>
    <row r="244" spans="1:12" ht="15.75" x14ac:dyDescent="0.25">
      <c r="K244" s="140"/>
      <c r="L244" s="140"/>
    </row>
    <row r="245" spans="1:12" ht="15.75" x14ac:dyDescent="0.25">
      <c r="B245" s="23" t="s">
        <v>17</v>
      </c>
      <c r="E245" s="4">
        <f>'Composite Cost Allocation'!E110</f>
        <v>2370994</v>
      </c>
      <c r="G245" s="4">
        <f>'Composite Cost Allocation'!G110</f>
        <v>2091570000</v>
      </c>
      <c r="I245" s="4">
        <f>'Composite Cost Allocation'!I110</f>
        <v>40326000</v>
      </c>
      <c r="K245" s="140"/>
      <c r="L245" s="140"/>
    </row>
    <row r="246" spans="1:12" ht="15.75" x14ac:dyDescent="0.25">
      <c r="B246" s="63" t="s">
        <v>72</v>
      </c>
      <c r="E246" s="4">
        <f>'Composite Cost Allocation'!E111</f>
        <v>23328273</v>
      </c>
      <c r="H246" s="4">
        <f>'Composite Cost Allocation'!H111</f>
        <v>24495801.499999996</v>
      </c>
      <c r="K246" s="140"/>
      <c r="L246" s="140"/>
    </row>
    <row r="247" spans="1:12" ht="15.75" x14ac:dyDescent="0.25">
      <c r="B247" s="63" t="s">
        <v>73</v>
      </c>
      <c r="E247" s="4">
        <f>'Composite Cost Allocation'!E112</f>
        <v>33868733</v>
      </c>
      <c r="H247" s="4">
        <f>'Composite Cost Allocation'!H112</f>
        <v>29455198.500000004</v>
      </c>
      <c r="K247" s="140"/>
      <c r="L247" s="140"/>
    </row>
    <row r="248" spans="1:12" ht="15.75" x14ac:dyDescent="0.25">
      <c r="B248" s="73" t="s">
        <v>142</v>
      </c>
      <c r="F248" s="4">
        <f>'Composite Cost Allocation'!F113</f>
        <v>2024892000</v>
      </c>
      <c r="K248" s="140"/>
      <c r="L248" s="140"/>
    </row>
    <row r="249" spans="1:12" ht="15.75" x14ac:dyDescent="0.25">
      <c r="B249" s="73" t="s">
        <v>144</v>
      </c>
      <c r="F249" s="4">
        <f>'Composite Cost Allocation'!F114</f>
        <v>2010814000</v>
      </c>
      <c r="K249" s="140"/>
      <c r="L249" s="140"/>
    </row>
    <row r="250" spans="1:12" ht="15.75" x14ac:dyDescent="0.25">
      <c r="K250" s="140"/>
      <c r="L250" s="140"/>
    </row>
    <row r="251" spans="1:12" ht="15.75" x14ac:dyDescent="0.25">
      <c r="B251" s="23" t="s">
        <v>18</v>
      </c>
      <c r="E251" s="4">
        <f>'Composite Cost Allocation'!E116</f>
        <v>5691342</v>
      </c>
      <c r="F251" s="4">
        <f>'Composite Cost Allocation'!F116</f>
        <v>5612850000</v>
      </c>
      <c r="G251" s="4">
        <f>'Composite Cost Allocation'!G116</f>
        <v>3714049000</v>
      </c>
      <c r="I251" s="4">
        <f>'Composite Cost Allocation'!I116</f>
        <v>80621000</v>
      </c>
      <c r="K251" s="140"/>
      <c r="L251" s="140"/>
    </row>
    <row r="252" spans="1:12" ht="15.75" x14ac:dyDescent="0.25">
      <c r="B252" s="63" t="s">
        <v>72</v>
      </c>
      <c r="E252" s="4">
        <f>'Composite Cost Allocation'!E117</f>
        <v>38318319.753899992</v>
      </c>
      <c r="H252" s="4">
        <f>'Composite Cost Allocation'!H117</f>
        <v>48727693.200000003</v>
      </c>
      <c r="K252" s="140"/>
      <c r="L252" s="140"/>
    </row>
    <row r="253" spans="1:12" ht="15.75" x14ac:dyDescent="0.25">
      <c r="B253" s="63" t="s">
        <v>73</v>
      </c>
      <c r="E253" s="4">
        <f>'Composite Cost Allocation'!E118</f>
        <v>71213338.246100008</v>
      </c>
      <c r="H253" s="4">
        <f>'Composite Cost Allocation'!H118</f>
        <v>64383306.799999997</v>
      </c>
      <c r="K253" s="140"/>
      <c r="L253" s="140"/>
    </row>
    <row r="254" spans="1:12" ht="15.75" x14ac:dyDescent="0.25">
      <c r="J254" s="2" t="s">
        <v>13</v>
      </c>
      <c r="K254" s="140"/>
      <c r="L254" s="140"/>
    </row>
    <row r="255" spans="1:12" ht="15.75" x14ac:dyDescent="0.25">
      <c r="B255" s="73" t="s">
        <v>162</v>
      </c>
      <c r="E255" s="4">
        <f>SUM(E245:E249)</f>
        <v>59568000</v>
      </c>
      <c r="F255" s="4">
        <f>SUM(F245:F249)</f>
        <v>4035706000</v>
      </c>
      <c r="G255" s="4">
        <f>SUM(G245:G249)</f>
        <v>2091570000</v>
      </c>
      <c r="H255" s="4">
        <f>SUM(H245:H249)</f>
        <v>53951000</v>
      </c>
      <c r="I255" s="4">
        <f>SUM(I245:I249)</f>
        <v>40326000</v>
      </c>
      <c r="J255" s="4">
        <f>SUM(E255:I255)</f>
        <v>6281121000</v>
      </c>
      <c r="K255" s="140"/>
      <c r="L255" s="140"/>
    </row>
    <row r="256" spans="1:12" ht="15.75" x14ac:dyDescent="0.25">
      <c r="B256" s="73" t="s">
        <v>163</v>
      </c>
      <c r="E256" s="115">
        <f>SUM(E251:E253)</f>
        <v>115223000</v>
      </c>
      <c r="F256" s="115">
        <f>SUM(F251:F253)</f>
        <v>5612850000</v>
      </c>
      <c r="G256" s="226">
        <f>SUM(G251:G253)</f>
        <v>3714049000</v>
      </c>
      <c r="H256" s="10">
        <f>SUM(H251:H253)</f>
        <v>113111000</v>
      </c>
      <c r="I256" s="10">
        <f>SUM(I251:I253)</f>
        <v>80621000</v>
      </c>
      <c r="J256" s="115">
        <f>SUM(E256:I256)</f>
        <v>9635854000</v>
      </c>
      <c r="K256" s="140"/>
      <c r="L256" s="140"/>
    </row>
    <row r="257" spans="1:15" ht="15.75" x14ac:dyDescent="0.25">
      <c r="B257" s="73" t="s">
        <v>164</v>
      </c>
      <c r="E257" s="4">
        <f>SUM(E255:E256)</f>
        <v>174791000</v>
      </c>
      <c r="F257" s="4">
        <f>SUM(F255:F256)</f>
        <v>9648556000</v>
      </c>
      <c r="G257" s="4">
        <f>SUM(G255:G256)</f>
        <v>5805619000</v>
      </c>
      <c r="H257" s="4">
        <f>SUM(H255:H256)</f>
        <v>167062000</v>
      </c>
      <c r="I257" s="4">
        <f>SUM(I255:I256)</f>
        <v>120947000</v>
      </c>
      <c r="J257" s="4">
        <f>SUM(E257:I257)</f>
        <v>15916975000</v>
      </c>
      <c r="K257" s="140"/>
      <c r="L257" s="140"/>
    </row>
    <row r="258" spans="1:15" ht="15.75" x14ac:dyDescent="0.25">
      <c r="A258" s="7"/>
      <c r="B258" s="140"/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</row>
    <row r="259" spans="1:15" ht="15.75" x14ac:dyDescent="0.25">
      <c r="A259" s="7"/>
      <c r="B259" s="140"/>
      <c r="C259" s="140"/>
      <c r="D259" s="140"/>
      <c r="E259" s="140"/>
      <c r="F259" s="140"/>
      <c r="G259" s="140"/>
      <c r="H259" s="140"/>
      <c r="I259" s="140"/>
      <c r="J259" s="140"/>
      <c r="K259" s="140"/>
      <c r="L259" s="140"/>
    </row>
    <row r="261" spans="1:15" x14ac:dyDescent="0.2">
      <c r="A261" s="6" t="s">
        <v>133</v>
      </c>
      <c r="B261" s="1" t="s">
        <v>168</v>
      </c>
    </row>
    <row r="262" spans="1:15" x14ac:dyDescent="0.2">
      <c r="A262" s="7"/>
      <c r="B262" s="1"/>
    </row>
    <row r="263" spans="1:15" x14ac:dyDescent="0.2">
      <c r="A263" s="7"/>
      <c r="C263" s="2"/>
      <c r="D263" s="2"/>
      <c r="E263" s="2" t="str">
        <f>+E$13</f>
        <v>RT{1}</v>
      </c>
      <c r="F263" s="2" t="str">
        <f>+F$13</f>
        <v>RS{2}</v>
      </c>
      <c r="G263" s="2" t="str">
        <f>+G$13</f>
        <v>GS{3}</v>
      </c>
      <c r="H263" s="132" t="str">
        <f>+H$58</f>
        <v>GST {4}</v>
      </c>
      <c r="I263" s="2" t="str">
        <f>+I$13</f>
        <v>OL/SL</v>
      </c>
      <c r="J263" s="2" t="s">
        <v>13</v>
      </c>
      <c r="K263" s="2"/>
      <c r="L263" s="2"/>
    </row>
    <row r="264" spans="1:15" x14ac:dyDescent="0.2">
      <c r="A264" s="7"/>
      <c r="B264" t="s">
        <v>134</v>
      </c>
    </row>
    <row r="265" spans="1:15" x14ac:dyDescent="0.2">
      <c r="A265" s="7"/>
      <c r="B265" s="23" t="s">
        <v>17</v>
      </c>
      <c r="C265" s="126"/>
      <c r="D265" s="126"/>
      <c r="E265" s="126">
        <f>+E219*E245/1000000</f>
        <v>307.61909025505167</v>
      </c>
      <c r="F265" s="126"/>
      <c r="G265" s="126">
        <f>+G219*G245/1000000</f>
        <v>257207.69073125802</v>
      </c>
      <c r="H265" s="121"/>
      <c r="I265" s="126">
        <f>+I219*I245/1000000</f>
        <v>3742.3122114340281</v>
      </c>
      <c r="J265" s="126"/>
      <c r="K265" s="126"/>
      <c r="L265" s="126"/>
    </row>
    <row r="266" spans="1:15" x14ac:dyDescent="0.2">
      <c r="A266" s="7"/>
      <c r="B266" s="63" t="s">
        <v>72</v>
      </c>
      <c r="C266" s="126"/>
      <c r="D266" s="126"/>
      <c r="E266" s="126">
        <f>+E220*E246/1000000</f>
        <v>4414.4336545267961</v>
      </c>
      <c r="F266" s="126"/>
      <c r="G266" s="126"/>
      <c r="H266" s="126">
        <f>+H220*H246/1000000</f>
        <v>3842.5379258373077</v>
      </c>
      <c r="I266" s="126"/>
      <c r="J266" s="126"/>
      <c r="K266" s="126"/>
      <c r="L266" s="126"/>
    </row>
    <row r="267" spans="1:15" x14ac:dyDescent="0.2">
      <c r="A267" s="7"/>
      <c r="B267" s="63" t="s">
        <v>73</v>
      </c>
      <c r="C267" s="126"/>
      <c r="D267" s="126"/>
      <c r="E267" s="126">
        <f>+E221*E247/1000000</f>
        <v>3006.8259777786629</v>
      </c>
      <c r="F267" s="126"/>
      <c r="G267" s="126"/>
      <c r="H267" s="126">
        <f>+H221*H247/1000000</f>
        <v>2604.0216042013435</v>
      </c>
      <c r="I267" s="126"/>
      <c r="J267" s="126"/>
      <c r="K267" s="3"/>
      <c r="L267" s="3"/>
      <c r="N267" s="3"/>
      <c r="O267" s="3"/>
    </row>
    <row r="268" spans="1:15" x14ac:dyDescent="0.2">
      <c r="A268" s="7"/>
      <c r="B268" s="73" t="s">
        <v>142</v>
      </c>
      <c r="C268" s="126"/>
      <c r="D268" s="126"/>
      <c r="E268" s="126"/>
      <c r="F268" s="126">
        <f>+F222*F248/1000000</f>
        <v>265500.05000019609</v>
      </c>
      <c r="G268" s="126"/>
      <c r="H268" s="121"/>
      <c r="I268" s="126"/>
      <c r="J268" s="126"/>
      <c r="K268" s="126"/>
      <c r="L268" s="126"/>
      <c r="M268" s="3"/>
    </row>
    <row r="269" spans="1:15" x14ac:dyDescent="0.2">
      <c r="A269" s="7"/>
      <c r="B269" s="73" t="s">
        <v>144</v>
      </c>
      <c r="C269" s="126"/>
      <c r="D269" s="126"/>
      <c r="E269" s="126"/>
      <c r="F269" s="126">
        <f>+F223*F249/1000000</f>
        <v>281051.73171137995</v>
      </c>
      <c r="G269" s="126"/>
      <c r="H269" s="121"/>
      <c r="I269" s="126"/>
      <c r="J269" s="126"/>
      <c r="K269" s="126"/>
      <c r="L269" s="126"/>
    </row>
    <row r="270" spans="1:15" x14ac:dyDescent="0.2">
      <c r="A270" s="7"/>
      <c r="C270" s="126"/>
      <c r="D270" s="126"/>
      <c r="E270" s="126"/>
      <c r="F270" s="126"/>
      <c r="G270" s="126"/>
      <c r="H270" s="121"/>
      <c r="I270" s="126"/>
      <c r="J270" s="126"/>
      <c r="K270" s="126"/>
      <c r="L270" s="126"/>
    </row>
    <row r="271" spans="1:15" x14ac:dyDescent="0.2">
      <c r="A271" s="7"/>
      <c r="B271" s="23" t="s">
        <v>18</v>
      </c>
      <c r="C271" s="126"/>
      <c r="D271" s="126"/>
      <c r="E271" s="126">
        <f>+E225*E251/1000000</f>
        <v>700.46095823099176</v>
      </c>
      <c r="F271" s="126">
        <f>+F225*F251/1000000</f>
        <v>794462.25824587967</v>
      </c>
      <c r="G271" s="126">
        <f>+G225*G251/1000000</f>
        <v>432298.43862532696</v>
      </c>
      <c r="I271" s="126">
        <f>+I225*I251/1000000</f>
        <v>7250.919739093938</v>
      </c>
      <c r="J271" s="126"/>
      <c r="K271" s="126"/>
      <c r="L271" s="126"/>
    </row>
    <row r="272" spans="1:15" x14ac:dyDescent="0.2">
      <c r="A272" s="7"/>
      <c r="B272" s="63" t="s">
        <v>72</v>
      </c>
      <c r="C272" s="126"/>
      <c r="D272" s="126"/>
      <c r="E272" s="126">
        <f>+E226*E252/1000000</f>
        <v>6941.9161043171553</v>
      </c>
      <c r="F272" s="3"/>
      <c r="G272" s="3"/>
      <c r="H272" s="126">
        <f>+H226*H252/1000000</f>
        <v>6623.7981891803447</v>
      </c>
      <c r="I272" s="3"/>
      <c r="J272" s="126"/>
      <c r="K272" s="126"/>
      <c r="L272" s="126"/>
    </row>
    <row r="273" spans="1:12" x14ac:dyDescent="0.2">
      <c r="A273" s="7"/>
      <c r="B273" s="63" t="s">
        <v>73</v>
      </c>
      <c r="C273" s="3"/>
      <c r="D273" s="3"/>
      <c r="E273" s="126">
        <f>+E227*E253/1000000</f>
        <v>6537.009279941436</v>
      </c>
      <c r="H273" s="126">
        <f>+H227*H253/1000000</f>
        <v>5720.4828484323853</v>
      </c>
      <c r="J273" s="126"/>
      <c r="K273" s="126"/>
      <c r="L273" s="126"/>
    </row>
    <row r="274" spans="1:12" x14ac:dyDescent="0.2">
      <c r="A274" s="7"/>
      <c r="B274" s="5"/>
    </row>
    <row r="275" spans="1:12" x14ac:dyDescent="0.2">
      <c r="A275" s="7"/>
      <c r="B275" t="s">
        <v>135</v>
      </c>
    </row>
    <row r="276" spans="1:12" x14ac:dyDescent="0.2">
      <c r="A276" s="7"/>
      <c r="B276" s="5" t="s">
        <v>25</v>
      </c>
      <c r="E276" s="3">
        <f>SUM(E265:E269)</f>
        <v>7728.8787225605101</v>
      </c>
      <c r="F276" s="3">
        <f>SUM(F265:F269)</f>
        <v>546551.78171157604</v>
      </c>
      <c r="G276" s="3">
        <f>SUM(G265:G269)</f>
        <v>257207.69073125802</v>
      </c>
      <c r="H276" s="3">
        <f>SUM(H265:H269)</f>
        <v>6446.5595300386512</v>
      </c>
      <c r="I276" s="3">
        <f>SUM(I265:I269)</f>
        <v>3742.3122114340281</v>
      </c>
      <c r="J276" s="128">
        <f>SUM(E276:I276)</f>
        <v>821677.22290686716</v>
      </c>
    </row>
    <row r="277" spans="1:12" x14ac:dyDescent="0.2">
      <c r="A277" s="7"/>
      <c r="B277" s="5" t="s">
        <v>26</v>
      </c>
      <c r="E277" s="3">
        <f>SUM(E271:E273)</f>
        <v>14179.386342489583</v>
      </c>
      <c r="F277" s="3">
        <f>SUM(F271:F273)</f>
        <v>794462.25824587967</v>
      </c>
      <c r="G277" s="3">
        <f>SUM(G271:G273)</f>
        <v>432298.43862532696</v>
      </c>
      <c r="H277" s="3">
        <f>SUM(H271:H273)</f>
        <v>12344.281037612731</v>
      </c>
      <c r="I277" s="3">
        <f>SUM(I271:I273)</f>
        <v>7250.919739093938</v>
      </c>
      <c r="J277" s="128">
        <f>SUM(E277:I277)</f>
        <v>1260535.2839904029</v>
      </c>
    </row>
    <row r="278" spans="1:12" x14ac:dyDescent="0.2">
      <c r="A278" s="7"/>
      <c r="B278" s="5" t="s">
        <v>13</v>
      </c>
      <c r="E278" s="3">
        <f>SUM(E276:E277)</f>
        <v>21908.265065050095</v>
      </c>
      <c r="F278" s="3">
        <f>SUM(F276:F277)</f>
        <v>1341014.0399574558</v>
      </c>
      <c r="G278" s="3">
        <f>SUM(G276:G277)</f>
        <v>689506.12935658498</v>
      </c>
      <c r="H278" s="3">
        <f>SUM(H276:H277)</f>
        <v>18790.840567651383</v>
      </c>
      <c r="I278" s="3">
        <f>SUM(I276:I277)</f>
        <v>10993.231950527967</v>
      </c>
      <c r="J278" s="3">
        <f>SUM(E278:I278)</f>
        <v>2082212.5068972702</v>
      </c>
    </row>
    <row r="279" spans="1:12" x14ac:dyDescent="0.2">
      <c r="A279" s="7"/>
    </row>
    <row r="280" spans="1:12" x14ac:dyDescent="0.2">
      <c r="A280" s="7"/>
      <c r="B280" t="s">
        <v>136</v>
      </c>
    </row>
    <row r="281" spans="1:12" x14ac:dyDescent="0.2">
      <c r="A281" s="7"/>
      <c r="B281" s="5" t="s">
        <v>25</v>
      </c>
      <c r="E281" s="127">
        <f t="shared" ref="E281:J281" si="12">+E276/E278</f>
        <v>0.35278369599837767</v>
      </c>
      <c r="F281" s="127">
        <f t="shared" si="12"/>
        <v>0.40756603989687951</v>
      </c>
      <c r="G281" s="127">
        <f t="shared" si="12"/>
        <v>0.37303176836335344</v>
      </c>
      <c r="H281" s="127">
        <f t="shared" si="12"/>
        <v>0.34306924731916821</v>
      </c>
      <c r="I281" s="127">
        <f t="shared" si="12"/>
        <v>0.34041965349910569</v>
      </c>
      <c r="J281" s="127">
        <f t="shared" si="12"/>
        <v>0.39461736983381118</v>
      </c>
    </row>
    <row r="282" spans="1:12" x14ac:dyDescent="0.2">
      <c r="A282" s="7"/>
      <c r="B282" s="5" t="s">
        <v>26</v>
      </c>
      <c r="E282" s="127">
        <f t="shared" ref="E282:J282" si="13">+E277/E278</f>
        <v>0.64721630400162222</v>
      </c>
      <c r="F282" s="127">
        <f t="shared" si="13"/>
        <v>0.59243396010312044</v>
      </c>
      <c r="G282" s="127">
        <f t="shared" si="13"/>
        <v>0.62696823163664661</v>
      </c>
      <c r="H282" s="127">
        <f t="shared" si="13"/>
        <v>0.65693075268083179</v>
      </c>
      <c r="I282" s="127">
        <f t="shared" si="13"/>
        <v>0.65958034650089425</v>
      </c>
      <c r="J282" s="127">
        <f t="shared" si="13"/>
        <v>0.60538263016618876</v>
      </c>
    </row>
    <row r="283" spans="1:12" x14ac:dyDescent="0.2">
      <c r="A283" s="7"/>
      <c r="B283" s="5"/>
      <c r="E283" s="127"/>
      <c r="F283" s="127"/>
      <c r="G283" s="127"/>
      <c r="H283" s="127"/>
      <c r="I283" s="127"/>
      <c r="J283" s="127"/>
    </row>
    <row r="284" spans="1:12" x14ac:dyDescent="0.2">
      <c r="A284" s="7"/>
      <c r="B284" s="5"/>
      <c r="E284" s="127"/>
      <c r="F284" s="127"/>
      <c r="G284" s="127"/>
      <c r="H284" s="127"/>
      <c r="I284" s="127"/>
      <c r="J284" s="127"/>
    </row>
    <row r="285" spans="1:12" ht="15.75" x14ac:dyDescent="0.25">
      <c r="A285" s="7"/>
      <c r="B285" s="504" t="str">
        <f>$B$1</f>
        <v xml:space="preserve">Jersey Central Power &amp; Light </v>
      </c>
      <c r="C285" s="504"/>
      <c r="D285" s="504"/>
      <c r="E285" s="504"/>
      <c r="F285" s="504"/>
      <c r="G285" s="504"/>
      <c r="H285" s="504"/>
      <c r="I285" s="504"/>
      <c r="J285" s="504"/>
      <c r="K285" s="504"/>
      <c r="L285" s="504"/>
    </row>
    <row r="286" spans="1:12" ht="15.75" x14ac:dyDescent="0.25">
      <c r="A286" s="7"/>
      <c r="B286" s="504" t="str">
        <f>$B$2</f>
        <v>Attachment 2</v>
      </c>
      <c r="C286" s="504"/>
      <c r="D286" s="504"/>
      <c r="E286" s="504"/>
      <c r="F286" s="504"/>
      <c r="G286" s="504"/>
      <c r="H286" s="504"/>
      <c r="I286" s="504"/>
      <c r="J286" s="504"/>
      <c r="K286" s="504"/>
      <c r="L286" s="504"/>
    </row>
    <row r="287" spans="1:12" x14ac:dyDescent="0.2">
      <c r="A287" s="7"/>
      <c r="B287" s="5"/>
      <c r="E287" s="127"/>
      <c r="F287" s="127"/>
      <c r="G287" s="127"/>
      <c r="H287" s="127"/>
      <c r="I287" s="127"/>
      <c r="J287" s="127"/>
    </row>
    <row r="288" spans="1:12" x14ac:dyDescent="0.2">
      <c r="A288" s="6" t="s">
        <v>138</v>
      </c>
      <c r="B288" s="1" t="s">
        <v>245</v>
      </c>
      <c r="G288" s="3"/>
    </row>
    <row r="289" spans="1:10" x14ac:dyDescent="0.2">
      <c r="A289" s="7"/>
      <c r="C289" s="60"/>
      <c r="D289" s="60"/>
    </row>
    <row r="290" spans="1:10" x14ac:dyDescent="0.2">
      <c r="A290" s="7"/>
      <c r="B290" s="1" t="s">
        <v>231</v>
      </c>
      <c r="C290" s="60"/>
      <c r="D290" s="60"/>
    </row>
    <row r="291" spans="1:10" x14ac:dyDescent="0.2">
      <c r="A291" s="7"/>
      <c r="B291" s="73" t="s">
        <v>103</v>
      </c>
      <c r="C291" s="121">
        <f>J278</f>
        <v>2082212.5068972702</v>
      </c>
    </row>
    <row r="292" spans="1:10" x14ac:dyDescent="0.2">
      <c r="A292" s="7"/>
      <c r="B292" s="1"/>
      <c r="C292" s="121"/>
    </row>
    <row r="293" spans="1:10" x14ac:dyDescent="0.2">
      <c r="A293" s="7"/>
      <c r="B293" s="1" t="s">
        <v>229</v>
      </c>
      <c r="C293" s="121"/>
      <c r="E293" s="2" t="str">
        <f>+E$13</f>
        <v>RT{1}</v>
      </c>
      <c r="F293" s="2" t="str">
        <f>+F$13</f>
        <v>RS{2}</v>
      </c>
      <c r="G293" s="2" t="str">
        <f>+G$13</f>
        <v>GS{3}</v>
      </c>
      <c r="H293" s="132" t="str">
        <f>+H$58</f>
        <v>GST {4}</v>
      </c>
      <c r="I293" s="2" t="str">
        <f>+I$13</f>
        <v>OL/SL</v>
      </c>
      <c r="J293" s="2" t="s">
        <v>13</v>
      </c>
    </row>
    <row r="294" spans="1:10" x14ac:dyDescent="0.2">
      <c r="A294" s="7"/>
      <c r="B294" s="18" t="s">
        <v>25</v>
      </c>
      <c r="C294" s="121"/>
      <c r="E294" s="137">
        <f>ROUND(SUM(E65:E68)*E95,0)</f>
        <v>66597</v>
      </c>
      <c r="F294" s="137">
        <f>ROUND(SUM(F65:F68)*F95,0)</f>
        <v>4511916</v>
      </c>
      <c r="G294" s="137">
        <f>ROUND(SUM(G65:G68)*G95,0)</f>
        <v>2338374</v>
      </c>
      <c r="H294" s="137">
        <f>ROUND(SUM(H65:H68)*H95,0)</f>
        <v>60317</v>
      </c>
      <c r="I294" s="137">
        <f>ROUND(SUM(I65:I68)*I95,0)</f>
        <v>45084</v>
      </c>
      <c r="J294" s="137">
        <f>SUM(E294:I294)</f>
        <v>7022288</v>
      </c>
    </row>
    <row r="295" spans="1:10" x14ac:dyDescent="0.2">
      <c r="A295" s="7"/>
      <c r="B295" s="12" t="s">
        <v>26</v>
      </c>
      <c r="C295" s="121"/>
      <c r="E295" s="137">
        <f>ROUND((E72-SUM(E65:E68))*E95,0)</f>
        <v>128819</v>
      </c>
      <c r="F295" s="137">
        <f>ROUND((F72-SUM(F65:F68))*F95,0)</f>
        <v>6275162</v>
      </c>
      <c r="G295" s="137">
        <f>ROUND((G72-SUM(G65:G68))*G95,0)</f>
        <v>4152304</v>
      </c>
      <c r="H295" s="137">
        <f>ROUND((H72-SUM(H65:H68))*H95,0)</f>
        <v>126458</v>
      </c>
      <c r="I295" s="137">
        <f>ROUND((I72-SUM(I65:I68))*I95,0)</f>
        <v>90134</v>
      </c>
      <c r="J295" s="137">
        <f>SUM(E295:I295)</f>
        <v>10772877</v>
      </c>
    </row>
    <row r="296" spans="1:10" x14ac:dyDescent="0.2">
      <c r="A296" s="7"/>
      <c r="C296" s="73"/>
      <c r="D296" s="122"/>
      <c r="J296" s="4"/>
    </row>
    <row r="297" spans="1:10" x14ac:dyDescent="0.2">
      <c r="A297" s="7"/>
      <c r="B297" s="1" t="s">
        <v>232</v>
      </c>
      <c r="C297" s="73"/>
      <c r="D297" s="136" t="s">
        <v>220</v>
      </c>
      <c r="E297" s="10" t="s">
        <v>226</v>
      </c>
    </row>
    <row r="298" spans="1:10" x14ac:dyDescent="0.2">
      <c r="A298" s="7"/>
      <c r="B298" s="225" t="s">
        <v>365</v>
      </c>
      <c r="D298" s="8" t="s">
        <v>223</v>
      </c>
      <c r="E298" s="430">
        <f>'Attachment 3 - 27-28'!C35</f>
        <v>117.00999999999999</v>
      </c>
      <c r="F298" s="8" t="s">
        <v>228</v>
      </c>
      <c r="G298" s="8" t="s">
        <v>230</v>
      </c>
    </row>
    <row r="299" spans="1:10" x14ac:dyDescent="0.2">
      <c r="A299" s="7"/>
      <c r="B299" t="s">
        <v>225</v>
      </c>
      <c r="C299" s="73"/>
      <c r="D299" s="141">
        <v>1</v>
      </c>
      <c r="E299" s="242">
        <f>ROUND($E$298*D299,3)</f>
        <v>117.01</v>
      </c>
      <c r="F299" s="4">
        <f>J294</f>
        <v>7022288</v>
      </c>
      <c r="G299" s="121">
        <f>ROUND(F299*E299/1000,0)</f>
        <v>821678</v>
      </c>
    </row>
    <row r="300" spans="1:10" ht="15" x14ac:dyDescent="0.35">
      <c r="A300" s="7"/>
      <c r="B300" t="s">
        <v>227</v>
      </c>
      <c r="C300" s="73"/>
      <c r="D300" s="141">
        <v>1</v>
      </c>
      <c r="E300" s="242">
        <f>ROUND($E$298*D300,3)</f>
        <v>117.01</v>
      </c>
      <c r="F300" s="4">
        <f>J295</f>
        <v>10772877</v>
      </c>
      <c r="G300" s="69">
        <f>ROUND(F300*E300/1000,0)</f>
        <v>1260534</v>
      </c>
    </row>
    <row r="301" spans="1:10" x14ac:dyDescent="0.2">
      <c r="A301" s="7"/>
      <c r="B301" t="s">
        <v>233</v>
      </c>
      <c r="C301" s="73"/>
      <c r="D301" s="122"/>
      <c r="G301" s="3">
        <f>SUM(G299:G300)</f>
        <v>2082212</v>
      </c>
    </row>
    <row r="302" spans="1:10" x14ac:dyDescent="0.2">
      <c r="A302" s="7"/>
      <c r="C302" s="73"/>
      <c r="D302" s="122"/>
    </row>
    <row r="303" spans="1:10" x14ac:dyDescent="0.2">
      <c r="A303" s="6" t="s">
        <v>240</v>
      </c>
      <c r="B303" s="1" t="s">
        <v>234</v>
      </c>
      <c r="C303" s="73"/>
      <c r="D303" s="122"/>
      <c r="F303" s="5" t="s">
        <v>220</v>
      </c>
      <c r="G303" s="5" t="s">
        <v>222</v>
      </c>
      <c r="H303" s="5"/>
    </row>
    <row r="304" spans="1:10" x14ac:dyDescent="0.2">
      <c r="A304" s="7"/>
      <c r="F304" s="5" t="s">
        <v>236</v>
      </c>
      <c r="G304" s="5" t="s">
        <v>223</v>
      </c>
      <c r="H304" s="5" t="s">
        <v>222</v>
      </c>
    </row>
    <row r="305" spans="1:15" x14ac:dyDescent="0.2">
      <c r="A305" s="7"/>
      <c r="B305" t="s">
        <v>235</v>
      </c>
      <c r="F305" s="8" t="s">
        <v>230</v>
      </c>
      <c r="G305" s="8" t="s">
        <v>224</v>
      </c>
      <c r="H305" s="8" t="s">
        <v>223</v>
      </c>
      <c r="I305" s="10"/>
    </row>
    <row r="306" spans="1:15" x14ac:dyDescent="0.2">
      <c r="A306" s="7"/>
      <c r="B306" s="5" t="s">
        <v>25</v>
      </c>
      <c r="C306" s="129">
        <f>J276*1000/J294</f>
        <v>117.00990089083034</v>
      </c>
      <c r="D306" t="s">
        <v>137</v>
      </c>
      <c r="F306" s="221">
        <f>E299</f>
        <v>117.01</v>
      </c>
      <c r="G306" s="135">
        <f>E299/C306</f>
        <v>1.0000008470152433</v>
      </c>
      <c r="H306" s="428">
        <v>1.447025</v>
      </c>
      <c r="M306" s="148"/>
    </row>
    <row r="307" spans="1:15" x14ac:dyDescent="0.2">
      <c r="A307" s="7"/>
      <c r="B307" s="5" t="s">
        <v>26</v>
      </c>
      <c r="C307" s="129">
        <f>J277*1000/J295</f>
        <v>117.01008783358456</v>
      </c>
      <c r="D307" t="s">
        <v>137</v>
      </c>
      <c r="F307" s="221">
        <f>E300</f>
        <v>117.01</v>
      </c>
      <c r="G307" s="135">
        <f>E300/C307</f>
        <v>0.99999924935032369</v>
      </c>
      <c r="H307" s="428">
        <v>1.2242599999999999</v>
      </c>
      <c r="M307" s="148"/>
    </row>
    <row r="308" spans="1:15" x14ac:dyDescent="0.2">
      <c r="A308" s="7"/>
      <c r="B308" s="5"/>
      <c r="C308" s="129"/>
      <c r="H308" s="2"/>
      <c r="I308" s="87"/>
      <c r="M308" s="1"/>
      <c r="N308" s="87"/>
      <c r="O308" s="87"/>
    </row>
    <row r="309" spans="1:15" x14ac:dyDescent="0.2">
      <c r="A309" s="1" t="s">
        <v>108</v>
      </c>
      <c r="E309" s="81"/>
      <c r="F309" s="84"/>
    </row>
    <row r="310" spans="1:15" x14ac:dyDescent="0.2">
      <c r="A310" s="7"/>
      <c r="B310" s="73" t="s">
        <v>132</v>
      </c>
      <c r="C310" s="85">
        <f>E179</f>
        <v>330.97899999999998</v>
      </c>
      <c r="D310" s="77" t="s">
        <v>160</v>
      </c>
      <c r="E310" s="81"/>
      <c r="F310" s="84"/>
    </row>
    <row r="311" spans="1:15" x14ac:dyDescent="0.2">
      <c r="A311" s="7"/>
      <c r="B311" s="73"/>
      <c r="C311" s="85">
        <f>E180</f>
        <v>330.97899999999998</v>
      </c>
      <c r="D311" s="77" t="s">
        <v>161</v>
      </c>
      <c r="E311" s="81"/>
      <c r="F311" s="84"/>
    </row>
    <row r="312" spans="1:15" x14ac:dyDescent="0.2">
      <c r="A312" s="7"/>
      <c r="B312" s="73" t="s">
        <v>159</v>
      </c>
      <c r="C312" s="392" t="s">
        <v>339</v>
      </c>
      <c r="D312" s="77"/>
      <c r="E312" s="81"/>
      <c r="F312" s="84"/>
    </row>
    <row r="313" spans="1:15" x14ac:dyDescent="0.2">
      <c r="A313" s="7"/>
      <c r="B313" s="73" t="s">
        <v>109</v>
      </c>
      <c r="C313" s="125">
        <f>+H173</f>
        <v>4</v>
      </c>
      <c r="D313" t="s">
        <v>110</v>
      </c>
      <c r="E313" s="81"/>
      <c r="F313" s="84"/>
    </row>
    <row r="314" spans="1:15" x14ac:dyDescent="0.2">
      <c r="A314" s="7"/>
      <c r="B314" s="73"/>
      <c r="C314" s="125">
        <f>+H174</f>
        <v>8</v>
      </c>
      <c r="D314" t="s">
        <v>111</v>
      </c>
      <c r="E314" s="81"/>
      <c r="F314" s="84"/>
    </row>
    <row r="315" spans="1:15" x14ac:dyDescent="0.2">
      <c r="A315" s="7"/>
      <c r="B315" s="73" t="s">
        <v>112</v>
      </c>
      <c r="C315" s="85">
        <f>+E193</f>
        <v>29.161999999999999</v>
      </c>
      <c r="D315" t="s">
        <v>113</v>
      </c>
      <c r="E315" s="81"/>
      <c r="F315" s="84"/>
    </row>
    <row r="316" spans="1:15" x14ac:dyDescent="0.2">
      <c r="A316" s="7"/>
      <c r="B316" s="73" t="s">
        <v>114</v>
      </c>
      <c r="C316" s="18" t="s">
        <v>246</v>
      </c>
      <c r="E316" s="81"/>
      <c r="F316" s="84"/>
    </row>
    <row r="317" spans="1:15" x14ac:dyDescent="0.2">
      <c r="A317" s="7"/>
      <c r="B317" s="73"/>
      <c r="C317" s="257" t="s">
        <v>366</v>
      </c>
      <c r="E317" s="81"/>
      <c r="F317" s="84"/>
    </row>
    <row r="318" spans="1:15" x14ac:dyDescent="0.2">
      <c r="A318" s="7"/>
      <c r="B318" s="73" t="s">
        <v>115</v>
      </c>
      <c r="C318" s="12" t="str">
        <f>'BGS PTY25 Cost Alloc'!C$307</f>
        <v xml:space="preserve"> forecasted 2026 energy use by class based upon PJM on/off % from 2023 through 2025 class load information</v>
      </c>
      <c r="E318" s="81"/>
      <c r="F318" s="84"/>
    </row>
    <row r="319" spans="1:15" x14ac:dyDescent="0.2">
      <c r="A319" s="7"/>
      <c r="B319" s="73"/>
      <c r="C319" s="12" t="str">
        <f>'BGS PTY25 Cost Alloc'!C$308</f>
        <v xml:space="preserve">   JCP&amp;L billing on/off % from 2026 forecasted billing determinants</v>
      </c>
      <c r="E319" s="81"/>
      <c r="F319" s="84"/>
    </row>
    <row r="320" spans="1:15" x14ac:dyDescent="0.2">
      <c r="A320" s="7"/>
      <c r="B320" s="73" t="s">
        <v>116</v>
      </c>
      <c r="C320" s="12" t="str">
        <f>'BGS PTY25 Cost Alloc'!C$309</f>
        <v>class totals for 2026 excluding accounts required to take service under BGS-CIEP as of June 1, 2027</v>
      </c>
      <c r="E320" s="81"/>
      <c r="F320" s="84"/>
    </row>
    <row r="321" spans="1:12" x14ac:dyDescent="0.2">
      <c r="A321" s="7"/>
      <c r="B321" s="73" t="s">
        <v>117</v>
      </c>
      <c r="C321" t="s">
        <v>166</v>
      </c>
      <c r="E321" s="81"/>
      <c r="F321" s="84"/>
    </row>
    <row r="322" spans="1:12" x14ac:dyDescent="0.2">
      <c r="A322" s="7"/>
      <c r="B322" s="73" t="s">
        <v>118</v>
      </c>
      <c r="C322" t="s">
        <v>214</v>
      </c>
      <c r="E322" s="83"/>
      <c r="F322" s="84"/>
    </row>
    <row r="323" spans="1:12" x14ac:dyDescent="0.2">
      <c r="C323" t="s">
        <v>119</v>
      </c>
      <c r="E323" s="81"/>
      <c r="F323" s="84"/>
    </row>
    <row r="324" spans="1:12" x14ac:dyDescent="0.2">
      <c r="B324" s="73" t="s">
        <v>120</v>
      </c>
      <c r="C324" s="86" t="s">
        <v>189</v>
      </c>
      <c r="E324" s="81"/>
      <c r="F324" s="84"/>
    </row>
    <row r="325" spans="1:12" x14ac:dyDescent="0.2">
      <c r="A325" s="7"/>
      <c r="C325" s="86" t="s">
        <v>121</v>
      </c>
      <c r="E325" s="82"/>
    </row>
    <row r="326" spans="1:12" x14ac:dyDescent="0.2">
      <c r="C326" s="86" t="s">
        <v>188</v>
      </c>
    </row>
    <row r="327" spans="1:12" x14ac:dyDescent="0.2">
      <c r="A327" s="7"/>
      <c r="B327" s="289" t="s">
        <v>311</v>
      </c>
      <c r="C327" s="320" t="s">
        <v>312</v>
      </c>
      <c r="E327" s="114"/>
      <c r="F327" s="4"/>
    </row>
    <row r="328" spans="1:12" x14ac:dyDescent="0.2">
      <c r="A328" s="7"/>
      <c r="B328" t="str">
        <f>'BGS PTY25 Cost Alloc'!B318</f>
        <v xml:space="preserve"> </v>
      </c>
      <c r="C328" s="9"/>
      <c r="E328" s="114"/>
      <c r="F328" s="114"/>
    </row>
    <row r="333" spans="1:12" x14ac:dyDescent="0.2">
      <c r="L333" s="121"/>
    </row>
    <row r="342" spans="12:12" x14ac:dyDescent="0.2">
      <c r="L342" s="121"/>
    </row>
    <row r="343" spans="12:12" x14ac:dyDescent="0.2">
      <c r="L343" s="121"/>
    </row>
    <row r="344" spans="12:12" x14ac:dyDescent="0.2">
      <c r="L344" s="121"/>
    </row>
    <row r="345" spans="12:12" x14ac:dyDescent="0.2">
      <c r="L345" s="116"/>
    </row>
    <row r="346" spans="12:12" x14ac:dyDescent="0.2">
      <c r="L346" s="116"/>
    </row>
    <row r="347" spans="12:12" x14ac:dyDescent="0.2">
      <c r="L347" s="116"/>
    </row>
  </sheetData>
  <mergeCells count="16">
    <mergeCell ref="B103:L103"/>
    <mergeCell ref="B104:L104"/>
    <mergeCell ref="B143:L143"/>
    <mergeCell ref="B1:L1"/>
    <mergeCell ref="B2:L2"/>
    <mergeCell ref="B52:L52"/>
    <mergeCell ref="B53:L53"/>
    <mergeCell ref="B5:L5"/>
    <mergeCell ref="B3:L3"/>
    <mergeCell ref="B144:L144"/>
    <mergeCell ref="B285:L285"/>
    <mergeCell ref="B286:L286"/>
    <mergeCell ref="B238:L238"/>
    <mergeCell ref="B239:L239"/>
    <mergeCell ref="B208:L208"/>
    <mergeCell ref="B209:L209"/>
  </mergeCells>
  <phoneticPr fontId="34" type="noConversion"/>
  <pageMargins left="0.97" right="0.79" top="0.69" bottom="0.69" header="0.33" footer="0.5"/>
  <pageSetup scale="60" orientation="landscape" r:id="rId1"/>
  <headerFooter alignWithMargins="0">
    <oddFooter>&amp;L&amp;F    &amp;A&amp;CPage &amp;P of &amp;N&amp;R&amp;D</oddFooter>
  </headerFooter>
  <rowBreaks count="6" manualBreakCount="6">
    <brk id="51" max="11" man="1"/>
    <brk id="102" max="11" man="1"/>
    <brk id="142" max="11" man="1"/>
    <brk id="207" max="11" man="1"/>
    <brk id="237" max="11" man="1"/>
    <brk id="284" max="11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AY347"/>
  <sheetViews>
    <sheetView view="pageBreakPreview" zoomScaleNormal="60" zoomScaleSheetLayoutView="100" workbookViewId="0"/>
  </sheetViews>
  <sheetFormatPr defaultColWidth="9.140625" defaultRowHeight="12.75" x14ac:dyDescent="0.2"/>
  <cols>
    <col min="1" max="1" width="16.140625" style="12" customWidth="1"/>
    <col min="2" max="2" width="27.85546875" customWidth="1"/>
    <col min="3" max="3" width="17.42578125" customWidth="1"/>
    <col min="4" max="4" width="12.5703125" customWidth="1"/>
    <col min="5" max="5" width="16.5703125" customWidth="1"/>
    <col min="6" max="6" width="16" customWidth="1"/>
    <col min="7" max="7" width="16.5703125" customWidth="1"/>
    <col min="8" max="8" width="15.42578125" customWidth="1"/>
    <col min="9" max="9" width="14.140625" customWidth="1"/>
    <col min="10" max="10" width="16.42578125" customWidth="1"/>
    <col min="11" max="11" width="12.5703125" customWidth="1"/>
    <col min="12" max="12" width="13.85546875" customWidth="1"/>
    <col min="13" max="13" width="17" hidden="1" customWidth="1"/>
    <col min="14" max="14" width="15.140625" hidden="1" customWidth="1"/>
    <col min="15" max="16" width="12.42578125" hidden="1" customWidth="1"/>
    <col min="17" max="17" width="13.5703125" hidden="1" customWidth="1"/>
    <col min="18" max="18" width="14.42578125" hidden="1" customWidth="1"/>
    <col min="19" max="19" width="14.85546875" hidden="1" customWidth="1"/>
    <col min="20" max="20" width="15.140625" hidden="1" customWidth="1"/>
    <col min="21" max="21" width="14.140625" hidden="1" customWidth="1"/>
    <col min="22" max="22" width="12.42578125" hidden="1" customWidth="1"/>
    <col min="23" max="23" width="13.42578125" hidden="1" customWidth="1"/>
    <col min="24" max="24" width="15.42578125" hidden="1" customWidth="1"/>
    <col min="25" max="25" width="10.5703125" hidden="1" customWidth="1"/>
    <col min="26" max="26" width="11.5703125" hidden="1" customWidth="1"/>
    <col min="27" max="27" width="12.5703125" hidden="1" customWidth="1"/>
    <col min="28" max="28" width="13.42578125" hidden="1" customWidth="1"/>
    <col min="29" max="29" width="11" hidden="1" customWidth="1"/>
    <col min="30" max="30" width="14.140625" hidden="1" customWidth="1"/>
    <col min="31" max="31" width="9.85546875" hidden="1" customWidth="1"/>
    <col min="32" max="32" width="9.140625" hidden="1" customWidth="1"/>
    <col min="33" max="33" width="12" hidden="1" customWidth="1"/>
    <col min="34" max="35" width="9.140625" hidden="1" customWidth="1"/>
    <col min="36" max="37" width="9.140625" customWidth="1"/>
    <col min="38" max="38" width="9.42578125" customWidth="1"/>
    <col min="39" max="46" width="9.140625" customWidth="1"/>
    <col min="47" max="48" width="10.85546875" customWidth="1"/>
    <col min="49" max="49" width="12.42578125" customWidth="1"/>
    <col min="50" max="50" width="10.85546875" customWidth="1"/>
    <col min="51" max="51" width="11.42578125" customWidth="1"/>
  </cols>
  <sheetData>
    <row r="1" spans="1:26" ht="15.75" x14ac:dyDescent="0.25">
      <c r="B1" s="504" t="s">
        <v>69</v>
      </c>
      <c r="C1" s="504"/>
      <c r="D1" s="504"/>
      <c r="E1" s="504"/>
      <c r="F1" s="504"/>
      <c r="G1" s="504"/>
      <c r="H1" s="504"/>
      <c r="I1" s="504"/>
      <c r="J1" s="504"/>
      <c r="K1" s="504"/>
      <c r="L1" s="504"/>
    </row>
    <row r="2" spans="1:26" ht="15.75" x14ac:dyDescent="0.25">
      <c r="B2" s="504" t="s">
        <v>187</v>
      </c>
      <c r="C2" s="504"/>
      <c r="D2" s="504"/>
      <c r="E2" s="504"/>
      <c r="F2" s="504"/>
      <c r="G2" s="504"/>
      <c r="H2" s="504"/>
      <c r="I2" s="504"/>
      <c r="J2" s="504"/>
      <c r="K2" s="504"/>
      <c r="L2" s="504"/>
    </row>
    <row r="3" spans="1:26" ht="15.75" x14ac:dyDescent="0.25">
      <c r="B3" s="504" t="str">
        <f>'BGS PTY25 Cost Alloc'!$B$3</f>
        <v>2027 BGS Auction Cost and Bid Factor Tables</v>
      </c>
      <c r="C3" s="504"/>
      <c r="D3" s="504"/>
      <c r="E3" s="504"/>
      <c r="F3" s="504"/>
      <c r="G3" s="504"/>
      <c r="H3" s="504"/>
      <c r="I3" s="504"/>
      <c r="J3" s="504"/>
      <c r="K3" s="504"/>
      <c r="L3" s="504"/>
    </row>
    <row r="4" spans="1:26" ht="15.75" x14ac:dyDescent="0.25"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</row>
    <row r="5" spans="1:26" ht="15.75" x14ac:dyDescent="0.25">
      <c r="B5" s="508" t="s">
        <v>364</v>
      </c>
      <c r="C5" s="508"/>
      <c r="D5" s="508"/>
      <c r="E5" s="508"/>
      <c r="F5" s="508"/>
      <c r="G5" s="508"/>
      <c r="H5" s="508"/>
      <c r="I5" s="508"/>
      <c r="J5" s="508"/>
      <c r="K5" s="508"/>
      <c r="L5" s="508"/>
    </row>
    <row r="6" spans="1:26" x14ac:dyDescent="0.2">
      <c r="L6" s="102" t="s">
        <v>251</v>
      </c>
    </row>
    <row r="8" spans="1:26" ht="15.75" x14ac:dyDescent="0.25">
      <c r="B8" s="13" t="s">
        <v>50</v>
      </c>
    </row>
    <row r="9" spans="1:26" x14ac:dyDescent="0.2">
      <c r="A9" s="14"/>
      <c r="B9" s="1" t="s">
        <v>45</v>
      </c>
    </row>
    <row r="10" spans="1:26" x14ac:dyDescent="0.2">
      <c r="E10" s="15" t="str">
        <f>'BGS PTY25 Cost Alloc'!$E$10</f>
        <v>Based on an average of 2023, 2024 and 2025 Load Information</v>
      </c>
    </row>
    <row r="11" spans="1:26" x14ac:dyDescent="0.2">
      <c r="A11" s="6" t="s">
        <v>30</v>
      </c>
      <c r="B11" s="16" t="s">
        <v>47</v>
      </c>
      <c r="C11" s="17"/>
      <c r="E11" s="15" t="s">
        <v>27</v>
      </c>
      <c r="N11" s="16"/>
      <c r="P11" s="18"/>
      <c r="Q11" s="16" t="s">
        <v>212</v>
      </c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25.5" x14ac:dyDescent="0.2">
      <c r="A12" s="7"/>
      <c r="C12" s="19"/>
      <c r="D12" s="19"/>
      <c r="E12" s="19" t="s">
        <v>24</v>
      </c>
      <c r="F12" s="19" t="s">
        <v>24</v>
      </c>
      <c r="G12" s="19" t="s">
        <v>24</v>
      </c>
      <c r="H12" s="19" t="s">
        <v>24</v>
      </c>
      <c r="I12" s="19" t="s">
        <v>56</v>
      </c>
      <c r="K12" s="19"/>
      <c r="L12" s="19"/>
      <c r="M12" s="19"/>
      <c r="N12" s="15"/>
      <c r="O12" s="19"/>
      <c r="P12" s="19"/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56</v>
      </c>
      <c r="W12" s="19"/>
      <c r="X12" s="19"/>
      <c r="Y12" s="19"/>
      <c r="Z12" s="19"/>
    </row>
    <row r="13" spans="1:26" x14ac:dyDescent="0.2">
      <c r="A13" s="7"/>
      <c r="B13" s="20" t="s">
        <v>190</v>
      </c>
      <c r="C13" s="21"/>
      <c r="D13" s="21"/>
      <c r="E13" s="2" t="s">
        <v>61</v>
      </c>
      <c r="F13" s="2" t="s">
        <v>62</v>
      </c>
      <c r="G13" s="2" t="s">
        <v>65</v>
      </c>
      <c r="H13" s="2" t="s">
        <v>54</v>
      </c>
      <c r="I13" s="2" t="s">
        <v>55</v>
      </c>
      <c r="J13" s="21"/>
      <c r="K13" s="21"/>
      <c r="L13" s="21"/>
      <c r="M13" s="21"/>
      <c r="N13" s="22"/>
      <c r="O13" s="2"/>
      <c r="P13" s="2"/>
      <c r="Q13" s="2" t="str">
        <f>+E13</f>
        <v>RT{1}</v>
      </c>
      <c r="R13" s="2" t="str">
        <f>+F13</f>
        <v>RS{2}</v>
      </c>
      <c r="S13" s="2" t="str">
        <f>+G13</f>
        <v>GS{3}</v>
      </c>
      <c r="T13" s="2" t="str">
        <f>+H13</f>
        <v>GST</v>
      </c>
      <c r="U13" s="2" t="str">
        <f>+I13</f>
        <v>OL/SL</v>
      </c>
      <c r="V13" s="2"/>
      <c r="W13" s="2"/>
      <c r="X13" s="2"/>
      <c r="Y13" s="2"/>
      <c r="Z13" s="2"/>
    </row>
    <row r="14" spans="1:26" x14ac:dyDescent="0.2">
      <c r="A14" s="7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x14ac:dyDescent="0.2">
      <c r="A15" s="7"/>
      <c r="B15" s="23" t="s">
        <v>1</v>
      </c>
      <c r="C15" s="24"/>
      <c r="D15" s="24"/>
      <c r="E15" s="130">
        <f>'BGS PTY25 Cost Alloc'!E15</f>
        <v>0.4788</v>
      </c>
      <c r="F15" s="130">
        <f>'BGS PTY25 Cost Alloc'!F15</f>
        <v>0.4914</v>
      </c>
      <c r="G15" s="130">
        <f>'BGS PTY25 Cost Alloc'!G15</f>
        <v>0.50690000000000002</v>
      </c>
      <c r="H15" s="130">
        <f>'BGS PTY25 Cost Alloc'!H15</f>
        <v>0.50780000000000003</v>
      </c>
      <c r="I15" s="130">
        <f>'BGS PTY25 Cost Alloc'!I15</f>
        <v>0.3115</v>
      </c>
      <c r="J15" s="24"/>
      <c r="K15" s="25"/>
      <c r="L15" s="25"/>
      <c r="M15" s="25"/>
      <c r="N15" s="26"/>
      <c r="O15" s="27"/>
      <c r="P15" s="27"/>
      <c r="Q15" s="27">
        <f t="shared" ref="Q15:Q26" si="0">1-E15</f>
        <v>0.5212</v>
      </c>
      <c r="R15" s="27">
        <f t="shared" ref="R15:R26" si="1">1-F15</f>
        <v>0.50859999999999994</v>
      </c>
      <c r="S15" s="27">
        <f t="shared" ref="S15:S26" si="2">1-G15</f>
        <v>0.49309999999999998</v>
      </c>
      <c r="T15" s="27">
        <f t="shared" ref="T15:T26" si="3">1-H15</f>
        <v>0.49219999999999997</v>
      </c>
      <c r="U15" s="27">
        <f t="shared" ref="U15:U26" si="4">1-I15</f>
        <v>0.6885</v>
      </c>
      <c r="V15" s="27"/>
      <c r="W15" s="27"/>
      <c r="X15" s="27"/>
      <c r="Y15" s="27"/>
      <c r="Z15" s="27"/>
    </row>
    <row r="16" spans="1:26" x14ac:dyDescent="0.2">
      <c r="A16" s="7"/>
      <c r="B16" s="23" t="s">
        <v>2</v>
      </c>
      <c r="C16" s="24"/>
      <c r="D16" s="24"/>
      <c r="E16" s="130">
        <f>'BGS PTY25 Cost Alloc'!E16</f>
        <v>0.47770000000000001</v>
      </c>
      <c r="F16" s="130">
        <f>'BGS PTY25 Cost Alloc'!F16</f>
        <v>0.49440000000000001</v>
      </c>
      <c r="G16" s="130">
        <f>'BGS PTY25 Cost Alloc'!G16</f>
        <v>0.51080000000000003</v>
      </c>
      <c r="H16" s="130">
        <f>'BGS PTY25 Cost Alloc'!H16</f>
        <v>0.51249999999999996</v>
      </c>
      <c r="I16" s="130">
        <f>'BGS PTY25 Cost Alloc'!I16</f>
        <v>0.29399999999999998</v>
      </c>
      <c r="J16" s="24"/>
      <c r="K16" s="25"/>
      <c r="L16" s="25"/>
      <c r="M16" s="25"/>
      <c r="N16" s="26"/>
      <c r="O16" s="27"/>
      <c r="P16" s="27"/>
      <c r="Q16" s="27">
        <f t="shared" si="0"/>
        <v>0.52229999999999999</v>
      </c>
      <c r="R16" s="27">
        <f t="shared" si="1"/>
        <v>0.50560000000000005</v>
      </c>
      <c r="S16" s="27">
        <f t="shared" si="2"/>
        <v>0.48919999999999997</v>
      </c>
      <c r="T16" s="27">
        <f t="shared" si="3"/>
        <v>0.48750000000000004</v>
      </c>
      <c r="U16" s="27">
        <f t="shared" si="4"/>
        <v>0.70599999999999996</v>
      </c>
      <c r="V16" s="27"/>
      <c r="W16" s="27"/>
      <c r="X16" s="27"/>
      <c r="Y16" s="27"/>
      <c r="Z16" s="27"/>
    </row>
    <row r="17" spans="1:26" x14ac:dyDescent="0.2">
      <c r="A17" s="7"/>
      <c r="B17" s="23" t="s">
        <v>3</v>
      </c>
      <c r="C17" s="24"/>
      <c r="D17" s="24"/>
      <c r="E17" s="130">
        <f>'BGS PTY25 Cost Alloc'!E17</f>
        <v>0.48670000000000002</v>
      </c>
      <c r="F17" s="130">
        <f>'BGS PTY25 Cost Alloc'!F17</f>
        <v>0.50349999999999995</v>
      </c>
      <c r="G17" s="130">
        <f>'BGS PTY25 Cost Alloc'!G17</f>
        <v>0.51949999999999996</v>
      </c>
      <c r="H17" s="130">
        <f>'BGS PTY25 Cost Alloc'!H17</f>
        <v>0.50170000000000003</v>
      </c>
      <c r="I17" s="130">
        <f>'BGS PTY25 Cost Alloc'!I17</f>
        <v>0.28539999999999999</v>
      </c>
      <c r="J17" s="24"/>
      <c r="K17" s="25"/>
      <c r="L17" s="25"/>
      <c r="M17" s="25"/>
      <c r="N17" s="26"/>
      <c r="O17" s="27"/>
      <c r="P17" s="27"/>
      <c r="Q17" s="27">
        <f t="shared" si="0"/>
        <v>0.51329999999999998</v>
      </c>
      <c r="R17" s="27">
        <f t="shared" si="1"/>
        <v>0.49650000000000005</v>
      </c>
      <c r="S17" s="27">
        <f t="shared" si="2"/>
        <v>0.48050000000000004</v>
      </c>
      <c r="T17" s="27">
        <f t="shared" si="3"/>
        <v>0.49829999999999997</v>
      </c>
      <c r="U17" s="27">
        <f t="shared" si="4"/>
        <v>0.71460000000000001</v>
      </c>
      <c r="V17" s="27"/>
      <c r="W17" s="27"/>
      <c r="X17" s="27"/>
      <c r="Y17" s="27"/>
      <c r="Z17" s="27"/>
    </row>
    <row r="18" spans="1:26" x14ac:dyDescent="0.2">
      <c r="A18" s="7"/>
      <c r="B18" s="23" t="s">
        <v>4</v>
      </c>
      <c r="C18" s="24"/>
      <c r="D18" s="24"/>
      <c r="E18" s="130">
        <f>'BGS PTY25 Cost Alloc'!E18</f>
        <v>0.47789999999999999</v>
      </c>
      <c r="F18" s="130">
        <f>'BGS PTY25 Cost Alloc'!F18</f>
        <v>0.50029999999999997</v>
      </c>
      <c r="G18" s="130">
        <f>'BGS PTY25 Cost Alloc'!G18</f>
        <v>0.51390000000000002</v>
      </c>
      <c r="H18" s="130">
        <f>'BGS PTY25 Cost Alloc'!H18</f>
        <v>0.53129999999999999</v>
      </c>
      <c r="I18" s="130">
        <f>'BGS PTY25 Cost Alloc'!I18</f>
        <v>0.29039999999999999</v>
      </c>
      <c r="J18" s="24"/>
      <c r="K18" s="25"/>
      <c r="L18" s="25"/>
      <c r="M18" s="25"/>
      <c r="N18" s="26"/>
      <c r="O18" s="27"/>
      <c r="P18" s="27"/>
      <c r="Q18" s="27">
        <f t="shared" si="0"/>
        <v>0.52210000000000001</v>
      </c>
      <c r="R18" s="27">
        <f t="shared" si="1"/>
        <v>0.49970000000000003</v>
      </c>
      <c r="S18" s="27">
        <f t="shared" si="2"/>
        <v>0.48609999999999998</v>
      </c>
      <c r="T18" s="27">
        <f t="shared" si="3"/>
        <v>0.46870000000000001</v>
      </c>
      <c r="U18" s="27">
        <f t="shared" si="4"/>
        <v>0.70960000000000001</v>
      </c>
      <c r="V18" s="27"/>
      <c r="W18" s="27"/>
      <c r="X18" s="27"/>
      <c r="Y18" s="27"/>
      <c r="Z18" s="27"/>
    </row>
    <row r="19" spans="1:26" x14ac:dyDescent="0.2">
      <c r="A19" s="7"/>
      <c r="B19" s="23" t="s">
        <v>5</v>
      </c>
      <c r="C19" s="24"/>
      <c r="D19" s="24"/>
      <c r="E19" s="130">
        <f>'BGS PTY25 Cost Alloc'!E19</f>
        <v>0.47639999999999999</v>
      </c>
      <c r="F19" s="130">
        <f>'BGS PTY25 Cost Alloc'!F19</f>
        <v>0.49430000000000002</v>
      </c>
      <c r="G19" s="130">
        <f>'BGS PTY25 Cost Alloc'!G19</f>
        <v>0.5121</v>
      </c>
      <c r="H19" s="130">
        <f>'BGS PTY25 Cost Alloc'!H19</f>
        <v>0.50749999999999995</v>
      </c>
      <c r="I19" s="130">
        <f>'BGS PTY25 Cost Alloc'!I19</f>
        <v>0.2823</v>
      </c>
      <c r="J19" s="24"/>
      <c r="K19" s="25"/>
      <c r="L19" s="25"/>
      <c r="M19" s="25"/>
      <c r="N19" s="26"/>
      <c r="O19" s="27"/>
      <c r="P19" s="27"/>
      <c r="Q19" s="27">
        <f t="shared" si="0"/>
        <v>0.52360000000000007</v>
      </c>
      <c r="R19" s="27">
        <f t="shared" si="1"/>
        <v>0.50570000000000004</v>
      </c>
      <c r="S19" s="27">
        <f t="shared" si="2"/>
        <v>0.4879</v>
      </c>
      <c r="T19" s="27">
        <f t="shared" si="3"/>
        <v>0.49250000000000005</v>
      </c>
      <c r="U19" s="27">
        <f t="shared" si="4"/>
        <v>0.7177</v>
      </c>
      <c r="V19" s="27"/>
      <c r="W19" s="27"/>
      <c r="X19" s="27"/>
      <c r="Y19" s="27"/>
      <c r="Z19" s="27"/>
    </row>
    <row r="20" spans="1:26" x14ac:dyDescent="0.2">
      <c r="A20" s="7"/>
      <c r="B20" s="23" t="s">
        <v>6</v>
      </c>
      <c r="C20" s="24"/>
      <c r="D20" s="24"/>
      <c r="E20" s="130">
        <f>'BGS PTY25 Cost Alloc'!E20</f>
        <v>0.52349999999999997</v>
      </c>
      <c r="F20" s="130">
        <f>'BGS PTY25 Cost Alloc'!F20</f>
        <v>0.54020000000000001</v>
      </c>
      <c r="G20" s="130">
        <f>'BGS PTY25 Cost Alloc'!G20</f>
        <v>0.55489999999999995</v>
      </c>
      <c r="H20" s="130">
        <f>'BGS PTY25 Cost Alloc'!H20</f>
        <v>0.55279999999999996</v>
      </c>
      <c r="I20" s="130">
        <f>'BGS PTY25 Cost Alloc'!I20</f>
        <v>0.27329999999999999</v>
      </c>
      <c r="J20" s="24"/>
      <c r="K20" s="25"/>
      <c r="L20" s="25"/>
      <c r="M20" s="25"/>
      <c r="N20" s="26"/>
      <c r="O20" s="27"/>
      <c r="P20" s="27"/>
      <c r="Q20" s="27">
        <f t="shared" si="0"/>
        <v>0.47650000000000003</v>
      </c>
      <c r="R20" s="27">
        <f t="shared" si="1"/>
        <v>0.45979999999999999</v>
      </c>
      <c r="S20" s="27">
        <f t="shared" si="2"/>
        <v>0.44510000000000005</v>
      </c>
      <c r="T20" s="27">
        <f t="shared" si="3"/>
        <v>0.44720000000000004</v>
      </c>
      <c r="U20" s="27">
        <f t="shared" si="4"/>
        <v>0.72670000000000001</v>
      </c>
      <c r="V20" s="27"/>
      <c r="W20" s="27"/>
      <c r="X20" s="27"/>
      <c r="Y20" s="27"/>
      <c r="Z20" s="27"/>
    </row>
    <row r="21" spans="1:26" x14ac:dyDescent="0.2">
      <c r="A21" s="7"/>
      <c r="B21" s="23" t="s">
        <v>7</v>
      </c>
      <c r="C21" s="24"/>
      <c r="D21" s="24"/>
      <c r="E21" s="130">
        <f>'BGS PTY25 Cost Alloc'!E21</f>
        <v>0.52300000000000002</v>
      </c>
      <c r="F21" s="130">
        <f>'BGS PTY25 Cost Alloc'!F21</f>
        <v>0.53700000000000003</v>
      </c>
      <c r="G21" s="130">
        <f>'BGS PTY25 Cost Alloc'!G21</f>
        <v>0.55510000000000004</v>
      </c>
      <c r="H21" s="130">
        <f>'BGS PTY25 Cost Alloc'!H21</f>
        <v>0.56169999999999998</v>
      </c>
      <c r="I21" s="130">
        <f>'BGS PTY25 Cost Alloc'!I21</f>
        <v>0.26440000000000002</v>
      </c>
      <c r="J21" s="24"/>
      <c r="K21" s="25"/>
      <c r="L21" s="25"/>
      <c r="M21" s="25"/>
      <c r="N21" s="26"/>
      <c r="O21" s="27"/>
      <c r="P21" s="27"/>
      <c r="Q21" s="27">
        <f t="shared" si="0"/>
        <v>0.47699999999999998</v>
      </c>
      <c r="R21" s="27">
        <f t="shared" si="1"/>
        <v>0.46299999999999997</v>
      </c>
      <c r="S21" s="27">
        <f t="shared" si="2"/>
        <v>0.44489999999999996</v>
      </c>
      <c r="T21" s="27">
        <f t="shared" si="3"/>
        <v>0.43830000000000002</v>
      </c>
      <c r="U21" s="27">
        <f t="shared" si="4"/>
        <v>0.73560000000000003</v>
      </c>
      <c r="V21" s="27"/>
      <c r="W21" s="27"/>
      <c r="X21" s="27"/>
      <c r="Y21" s="27"/>
      <c r="Z21" s="27"/>
    </row>
    <row r="22" spans="1:26" x14ac:dyDescent="0.2">
      <c r="A22" s="7"/>
      <c r="B22" s="23" t="s">
        <v>8</v>
      </c>
      <c r="C22" s="24"/>
      <c r="D22" s="24"/>
      <c r="E22" s="130">
        <f>'BGS PTY25 Cost Alloc'!E22</f>
        <v>0.51600000000000001</v>
      </c>
      <c r="F22" s="130">
        <f>'BGS PTY25 Cost Alloc'!F22</f>
        <v>0.5292</v>
      </c>
      <c r="G22" s="130">
        <f>'BGS PTY25 Cost Alloc'!G22</f>
        <v>0.55649999999999999</v>
      </c>
      <c r="H22" s="130">
        <f>'BGS PTY25 Cost Alloc'!H22</f>
        <v>0.55489999999999995</v>
      </c>
      <c r="I22" s="130">
        <f>'BGS PTY25 Cost Alloc'!I22</f>
        <v>0.28260000000000002</v>
      </c>
      <c r="J22" s="24"/>
      <c r="K22" s="25"/>
      <c r="L22" s="25"/>
      <c r="M22" s="25"/>
      <c r="N22" s="26"/>
      <c r="O22" s="27"/>
      <c r="P22" s="27"/>
      <c r="Q22" s="27">
        <f t="shared" si="0"/>
        <v>0.48399999999999999</v>
      </c>
      <c r="R22" s="27">
        <f t="shared" si="1"/>
        <v>0.4708</v>
      </c>
      <c r="S22" s="27">
        <f t="shared" si="2"/>
        <v>0.44350000000000001</v>
      </c>
      <c r="T22" s="27">
        <f t="shared" si="3"/>
        <v>0.44510000000000005</v>
      </c>
      <c r="U22" s="27">
        <f t="shared" si="4"/>
        <v>0.71740000000000004</v>
      </c>
      <c r="V22" s="27"/>
      <c r="W22" s="27"/>
      <c r="X22" s="27"/>
      <c r="Y22" s="27"/>
      <c r="Z22" s="27"/>
    </row>
    <row r="23" spans="1:26" x14ac:dyDescent="0.2">
      <c r="A23" s="7"/>
      <c r="B23" s="23" t="s">
        <v>9</v>
      </c>
      <c r="C23" s="24"/>
      <c r="D23" s="24"/>
      <c r="E23" s="130">
        <f>'BGS PTY25 Cost Alloc'!E23</f>
        <v>0.47989999999999999</v>
      </c>
      <c r="F23" s="130">
        <f>'BGS PTY25 Cost Alloc'!F23</f>
        <v>0.49609999999999999</v>
      </c>
      <c r="G23" s="130">
        <f>'BGS PTY25 Cost Alloc'!G23</f>
        <v>0.53520000000000001</v>
      </c>
      <c r="H23" s="130">
        <f>'BGS PTY25 Cost Alloc'!H23</f>
        <v>0.55410000000000004</v>
      </c>
      <c r="I23" s="130">
        <f>'BGS PTY25 Cost Alloc'!I23</f>
        <v>0.28689999999999999</v>
      </c>
      <c r="J23" s="24"/>
      <c r="K23" s="25"/>
      <c r="L23" s="25"/>
      <c r="M23" s="25"/>
      <c r="N23" s="26"/>
      <c r="O23" s="27"/>
      <c r="P23" s="27"/>
      <c r="Q23" s="27">
        <f t="shared" si="0"/>
        <v>0.52010000000000001</v>
      </c>
      <c r="R23" s="27">
        <f t="shared" si="1"/>
        <v>0.50390000000000001</v>
      </c>
      <c r="S23" s="27">
        <f t="shared" si="2"/>
        <v>0.46479999999999999</v>
      </c>
      <c r="T23" s="27">
        <f t="shared" si="3"/>
        <v>0.44589999999999996</v>
      </c>
      <c r="U23" s="27">
        <f t="shared" si="4"/>
        <v>0.71310000000000007</v>
      </c>
      <c r="V23" s="27"/>
      <c r="W23" s="27"/>
      <c r="X23" s="27"/>
      <c r="Y23" s="27"/>
      <c r="Z23" s="27"/>
    </row>
    <row r="24" spans="1:26" x14ac:dyDescent="0.2">
      <c r="A24" s="7"/>
      <c r="B24" s="23" t="s">
        <v>10</v>
      </c>
      <c r="C24" s="24"/>
      <c r="D24" s="24"/>
      <c r="E24" s="130">
        <f>'BGS PTY25 Cost Alloc'!E24</f>
        <v>0.50490000000000002</v>
      </c>
      <c r="F24" s="130">
        <f>'BGS PTY25 Cost Alloc'!F24</f>
        <v>0.52500000000000002</v>
      </c>
      <c r="G24" s="130">
        <f>'BGS PTY25 Cost Alloc'!G24</f>
        <v>0.56369999999999998</v>
      </c>
      <c r="H24" s="130">
        <f>'BGS PTY25 Cost Alloc'!H24</f>
        <v>0.59209999999999996</v>
      </c>
      <c r="I24" s="130">
        <f>'BGS PTY25 Cost Alloc'!I24</f>
        <v>0.32419999999999999</v>
      </c>
      <c r="J24" s="24"/>
      <c r="K24" s="25"/>
      <c r="L24" s="25"/>
      <c r="M24" s="25"/>
      <c r="N24" s="26"/>
      <c r="O24" s="27"/>
      <c r="P24" s="27"/>
      <c r="Q24" s="27">
        <f t="shared" si="0"/>
        <v>0.49509999999999998</v>
      </c>
      <c r="R24" s="27">
        <f t="shared" si="1"/>
        <v>0.47499999999999998</v>
      </c>
      <c r="S24" s="27">
        <f t="shared" si="2"/>
        <v>0.43630000000000002</v>
      </c>
      <c r="T24" s="27">
        <f t="shared" si="3"/>
        <v>0.40790000000000004</v>
      </c>
      <c r="U24" s="27">
        <f t="shared" si="4"/>
        <v>0.67579999999999996</v>
      </c>
      <c r="V24" s="27"/>
      <c r="W24" s="27"/>
      <c r="X24" s="27"/>
      <c r="Y24" s="27"/>
      <c r="Z24" s="27"/>
    </row>
    <row r="25" spans="1:26" x14ac:dyDescent="0.2">
      <c r="A25" s="7"/>
      <c r="B25" s="23" t="s">
        <v>11</v>
      </c>
      <c r="C25" s="24"/>
      <c r="D25" s="24"/>
      <c r="E25" s="130">
        <f>'BGS PTY25 Cost Alloc'!E25</f>
        <v>0.45119999999999999</v>
      </c>
      <c r="F25" s="130">
        <f>'BGS PTY25 Cost Alloc'!F25</f>
        <v>0.47310000000000002</v>
      </c>
      <c r="G25" s="130">
        <f>'BGS PTY25 Cost Alloc'!G25</f>
        <v>0.51080000000000003</v>
      </c>
      <c r="H25" s="130">
        <f>'BGS PTY25 Cost Alloc'!H25</f>
        <v>0.52390000000000003</v>
      </c>
      <c r="I25" s="130">
        <f>'BGS PTY25 Cost Alloc'!I25</f>
        <v>0.29620000000000002</v>
      </c>
      <c r="J25" s="24"/>
      <c r="K25" s="25"/>
      <c r="L25" s="25"/>
      <c r="M25" s="25"/>
      <c r="N25" s="26"/>
      <c r="O25" s="27"/>
      <c r="P25" s="27"/>
      <c r="Q25" s="27">
        <f t="shared" si="0"/>
        <v>0.54879999999999995</v>
      </c>
      <c r="R25" s="27">
        <f t="shared" si="1"/>
        <v>0.52689999999999992</v>
      </c>
      <c r="S25" s="27">
        <f t="shared" si="2"/>
        <v>0.48919999999999997</v>
      </c>
      <c r="T25" s="27">
        <f t="shared" si="3"/>
        <v>0.47609999999999997</v>
      </c>
      <c r="U25" s="27">
        <f t="shared" si="4"/>
        <v>0.70379999999999998</v>
      </c>
      <c r="V25" s="27"/>
      <c r="W25" s="27"/>
      <c r="X25" s="27"/>
      <c r="Y25" s="27"/>
      <c r="Z25" s="27"/>
    </row>
    <row r="26" spans="1:26" x14ac:dyDescent="0.2">
      <c r="A26" s="7"/>
      <c r="B26" s="23" t="s">
        <v>12</v>
      </c>
      <c r="C26" s="24"/>
      <c r="D26" s="24"/>
      <c r="E26" s="130">
        <f>'BGS PTY25 Cost Alloc'!E26</f>
        <v>0.45829999999999999</v>
      </c>
      <c r="F26" s="130">
        <f>'BGS PTY25 Cost Alloc'!F26</f>
        <v>0.47839999999999999</v>
      </c>
      <c r="G26" s="130">
        <f>'BGS PTY25 Cost Alloc'!G26</f>
        <v>0.50939999999999996</v>
      </c>
      <c r="H26" s="130">
        <f>'BGS PTY25 Cost Alloc'!H26</f>
        <v>0.53669999999999995</v>
      </c>
      <c r="I26" s="130">
        <f>'BGS PTY25 Cost Alloc'!I26</f>
        <v>0.30499999999999999</v>
      </c>
      <c r="J26" s="24"/>
      <c r="K26" s="25"/>
      <c r="L26" s="25"/>
      <c r="M26" s="25"/>
      <c r="N26" s="26"/>
      <c r="O26" s="27"/>
      <c r="P26" s="27"/>
      <c r="Q26" s="27">
        <f t="shared" si="0"/>
        <v>0.54170000000000007</v>
      </c>
      <c r="R26" s="27">
        <f t="shared" si="1"/>
        <v>0.52160000000000006</v>
      </c>
      <c r="S26" s="27">
        <f t="shared" si="2"/>
        <v>0.49060000000000004</v>
      </c>
      <c r="T26" s="27">
        <f t="shared" si="3"/>
        <v>0.46330000000000005</v>
      </c>
      <c r="U26" s="27">
        <f t="shared" si="4"/>
        <v>0.69500000000000006</v>
      </c>
      <c r="V26" s="27"/>
      <c r="W26" s="27"/>
      <c r="X26" s="27"/>
      <c r="Y26" s="27"/>
      <c r="Z26" s="27"/>
    </row>
    <row r="27" spans="1:26" x14ac:dyDescent="0.2">
      <c r="A27" s="7"/>
      <c r="B27" s="23"/>
      <c r="C27" s="26"/>
      <c r="D27" s="26"/>
      <c r="E27" s="26"/>
      <c r="F27" s="26"/>
      <c r="G27" s="26"/>
      <c r="H27" s="26"/>
      <c r="I27" s="28"/>
      <c r="J27" s="28"/>
      <c r="K27" s="26"/>
      <c r="L27" s="26"/>
      <c r="M27" s="26"/>
      <c r="N27" s="26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x14ac:dyDescent="0.2">
      <c r="A28" s="7"/>
      <c r="B28" s="23"/>
      <c r="C28" s="26"/>
      <c r="D28" s="26"/>
      <c r="E28" s="26"/>
      <c r="F28" s="26"/>
      <c r="G28" s="26"/>
      <c r="H28" s="26"/>
      <c r="I28" s="28"/>
      <c r="J28" s="28"/>
      <c r="K28" s="26"/>
      <c r="L28" s="26"/>
      <c r="M28" s="26"/>
      <c r="N28" s="26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x14ac:dyDescent="0.2">
      <c r="A29" s="6" t="s">
        <v>31</v>
      </c>
      <c r="B29" s="16" t="s">
        <v>57</v>
      </c>
      <c r="C29" s="26"/>
      <c r="D29" s="26"/>
      <c r="E29" s="26"/>
      <c r="F29" s="29" t="s">
        <v>46</v>
      </c>
      <c r="G29" s="26"/>
      <c r="H29" s="26"/>
      <c r="I29" s="28"/>
      <c r="J29" s="28"/>
      <c r="K29" s="26"/>
      <c r="L29" s="26"/>
      <c r="M29" s="26"/>
      <c r="N29" s="26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53.25" customHeight="1" x14ac:dyDescent="0.2">
      <c r="A30" s="7"/>
      <c r="C30" s="19"/>
      <c r="D30" s="19"/>
      <c r="E30" s="19" t="str">
        <f>'BGS PTY25 Cost Alloc'!$E$30</f>
        <v>2026 Forecasted Calendar Month Sales</v>
      </c>
      <c r="F30" s="19" t="s">
        <v>39</v>
      </c>
      <c r="G30" s="19" t="s">
        <v>39</v>
      </c>
      <c r="H30" s="19" t="str">
        <f>'BGS PTY25 Cost Alloc'!$E$30</f>
        <v>2026 Forecasted Calendar Month Sales</v>
      </c>
      <c r="I30" s="19" t="s">
        <v>39</v>
      </c>
      <c r="J30" s="19"/>
      <c r="K30" s="19"/>
      <c r="L30" s="19"/>
      <c r="M30" s="19"/>
      <c r="N30" s="15"/>
      <c r="O30" s="19"/>
      <c r="P30" s="19"/>
      <c r="Q30" s="19" t="str">
        <f>'BGS PTY25 Cost Alloc'!Q30</f>
        <v>2026 Forecasted Calendar Month Sales</v>
      </c>
      <c r="R30" s="19" t="s">
        <v>39</v>
      </c>
      <c r="S30" s="19" t="s">
        <v>39</v>
      </c>
      <c r="T30" s="19" t="str">
        <f>'BGS PTY25 Cost Alloc'!T30</f>
        <v>2026 Forecasted Calendar Month Sales</v>
      </c>
      <c r="U30" s="19" t="s">
        <v>39</v>
      </c>
      <c r="V30" s="19"/>
      <c r="W30" s="19"/>
      <c r="X30" s="19"/>
      <c r="Y30" s="19"/>
      <c r="Z30" s="19"/>
    </row>
    <row r="31" spans="1:26" x14ac:dyDescent="0.2">
      <c r="A31" s="7"/>
      <c r="B31" s="20" t="s">
        <v>190</v>
      </c>
      <c r="C31" s="2"/>
      <c r="D31" s="2"/>
      <c r="E31" s="2" t="str">
        <f>+E$13</f>
        <v>RT{1}</v>
      </c>
      <c r="F31" s="2" t="str">
        <f>+F$13</f>
        <v>RS{2}</v>
      </c>
      <c r="G31" s="2" t="str">
        <f>+G$13</f>
        <v>GS{3}</v>
      </c>
      <c r="H31" s="2" t="str">
        <f>+H$13</f>
        <v>GST</v>
      </c>
      <c r="I31" s="2" t="str">
        <f>+I$13</f>
        <v>OL/SL</v>
      </c>
      <c r="J31" s="2"/>
      <c r="K31" s="2"/>
      <c r="L31" s="2"/>
      <c r="M31" s="2"/>
      <c r="N31" s="22"/>
      <c r="O31" s="2"/>
      <c r="P31" s="2"/>
      <c r="Q31" s="2" t="str">
        <f>+Q$13</f>
        <v>RT{1}</v>
      </c>
      <c r="R31" s="2" t="str">
        <f>+R$13</f>
        <v>RS{2}</v>
      </c>
      <c r="S31" s="2" t="str">
        <f>+S$13</f>
        <v>GS{3}</v>
      </c>
      <c r="T31" s="2" t="str">
        <f>+T$13</f>
        <v>GST</v>
      </c>
      <c r="U31" s="2" t="str">
        <f>+U$13</f>
        <v>OL/SL</v>
      </c>
      <c r="V31" s="2"/>
      <c r="W31" s="2"/>
      <c r="X31" s="2"/>
      <c r="Y31" s="2"/>
      <c r="Z31" s="2"/>
    </row>
    <row r="32" spans="1:26" x14ac:dyDescent="0.2">
      <c r="A32" s="7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x14ac:dyDescent="0.2">
      <c r="A33" s="7"/>
      <c r="B33" s="23" t="s">
        <v>1</v>
      </c>
      <c r="C33" s="30"/>
      <c r="D33" s="112"/>
      <c r="E33" s="130">
        <f>'BGS PTY25 Cost Alloc'!E33</f>
        <v>0.34970000000000001</v>
      </c>
      <c r="F33" s="133" t="s">
        <v>40</v>
      </c>
      <c r="G33" s="133" t="s">
        <v>40</v>
      </c>
      <c r="H33" s="130">
        <f>'BGS PTY25 Cost Alloc'!H33</f>
        <v>0.41710000000000003</v>
      </c>
      <c r="I33" s="133" t="s">
        <v>40</v>
      </c>
      <c r="J33" s="30"/>
      <c r="K33" s="30"/>
      <c r="L33" s="26"/>
      <c r="M33" s="25"/>
      <c r="N33" s="26"/>
      <c r="O33" s="27"/>
      <c r="P33" s="27"/>
      <c r="Q33" s="27">
        <f t="shared" ref="Q33:Q44" si="5">1-E33</f>
        <v>0.65029999999999999</v>
      </c>
      <c r="R33" s="27"/>
      <c r="S33" s="27"/>
      <c r="T33" s="27">
        <f t="shared" ref="T33:T44" si="6">1-H33</f>
        <v>0.58289999999999997</v>
      </c>
      <c r="U33" s="27"/>
      <c r="V33" s="27"/>
      <c r="W33" s="27"/>
      <c r="X33" s="27"/>
      <c r="Y33" s="27"/>
      <c r="Z33" s="27"/>
    </row>
    <row r="34" spans="1:26" x14ac:dyDescent="0.2">
      <c r="A34" s="7"/>
      <c r="B34" s="23" t="s">
        <v>2</v>
      </c>
      <c r="C34" s="30"/>
      <c r="D34" s="112"/>
      <c r="E34" s="130">
        <f>'BGS PTY25 Cost Alloc'!E34</f>
        <v>0.34279999999999999</v>
      </c>
      <c r="F34" s="133" t="s">
        <v>40</v>
      </c>
      <c r="G34" s="133" t="s">
        <v>40</v>
      </c>
      <c r="H34" s="130">
        <f>'BGS PTY25 Cost Alloc'!H34</f>
        <v>0.41860000000000003</v>
      </c>
      <c r="I34" s="133" t="s">
        <v>40</v>
      </c>
      <c r="J34" s="30"/>
      <c r="K34" s="30"/>
      <c r="L34" s="26"/>
      <c r="M34" s="25"/>
      <c r="N34" s="26"/>
      <c r="O34" s="27"/>
      <c r="P34" s="27"/>
      <c r="Q34" s="27">
        <f t="shared" si="5"/>
        <v>0.65720000000000001</v>
      </c>
      <c r="R34" s="27"/>
      <c r="S34" s="27"/>
      <c r="T34" s="27">
        <f t="shared" si="6"/>
        <v>0.58139999999999992</v>
      </c>
      <c r="U34" s="27"/>
      <c r="V34" s="27"/>
      <c r="W34" s="27"/>
      <c r="X34" s="27"/>
      <c r="Y34" s="27"/>
      <c r="Z34" s="27"/>
    </row>
    <row r="35" spans="1:26" x14ac:dyDescent="0.2">
      <c r="A35" s="7"/>
      <c r="B35" s="23" t="s">
        <v>3</v>
      </c>
      <c r="C35" s="30"/>
      <c r="D35" s="112"/>
      <c r="E35" s="130">
        <f>'BGS PTY25 Cost Alloc'!E35</f>
        <v>0.33939999999999998</v>
      </c>
      <c r="F35" s="133" t="s">
        <v>40</v>
      </c>
      <c r="G35" s="133" t="s">
        <v>40</v>
      </c>
      <c r="H35" s="130">
        <f>'BGS PTY25 Cost Alloc'!H35</f>
        <v>0.41839999999999999</v>
      </c>
      <c r="I35" s="133" t="s">
        <v>40</v>
      </c>
      <c r="J35" s="30"/>
      <c r="K35" s="30"/>
      <c r="L35" s="26"/>
      <c r="M35" s="25"/>
      <c r="N35" s="26"/>
      <c r="O35" s="27"/>
      <c r="P35" s="27"/>
      <c r="Q35" s="27">
        <f t="shared" si="5"/>
        <v>0.66060000000000008</v>
      </c>
      <c r="R35" s="27"/>
      <c r="S35" s="27"/>
      <c r="T35" s="27">
        <f t="shared" si="6"/>
        <v>0.58160000000000001</v>
      </c>
      <c r="U35" s="27"/>
      <c r="V35" s="27"/>
      <c r="W35" s="27"/>
      <c r="X35" s="27"/>
      <c r="Y35" s="27"/>
      <c r="Z35" s="27"/>
    </row>
    <row r="36" spans="1:26" x14ac:dyDescent="0.2">
      <c r="A36" s="7"/>
      <c r="B36" s="23" t="s">
        <v>4</v>
      </c>
      <c r="C36" s="30"/>
      <c r="D36" s="112"/>
      <c r="E36" s="130">
        <f>'BGS PTY25 Cost Alloc'!E36</f>
        <v>0.34939999999999999</v>
      </c>
      <c r="F36" s="133" t="s">
        <v>40</v>
      </c>
      <c r="G36" s="133" t="s">
        <v>40</v>
      </c>
      <c r="H36" s="130">
        <f>'BGS PTY25 Cost Alloc'!H36</f>
        <v>0.42859999999999998</v>
      </c>
      <c r="I36" s="133" t="s">
        <v>40</v>
      </c>
      <c r="J36" s="30"/>
      <c r="K36" s="30"/>
      <c r="L36" s="26"/>
      <c r="M36" s="25"/>
      <c r="N36" s="26"/>
      <c r="O36" s="27"/>
      <c r="P36" s="27"/>
      <c r="Q36" s="27">
        <f t="shared" si="5"/>
        <v>0.65060000000000007</v>
      </c>
      <c r="R36" s="27"/>
      <c r="S36" s="27"/>
      <c r="T36" s="27">
        <f t="shared" si="6"/>
        <v>0.57140000000000002</v>
      </c>
      <c r="U36" s="27"/>
      <c r="V36" s="27"/>
      <c r="W36" s="27"/>
      <c r="X36" s="27"/>
      <c r="Y36" s="27"/>
      <c r="Z36" s="27"/>
    </row>
    <row r="37" spans="1:26" x14ac:dyDescent="0.2">
      <c r="A37" s="7"/>
      <c r="B37" s="23" t="s">
        <v>5</v>
      </c>
      <c r="C37" s="30"/>
      <c r="D37" s="112"/>
      <c r="E37" s="130">
        <f>'BGS PTY25 Cost Alloc'!E37</f>
        <v>0.36930000000000002</v>
      </c>
      <c r="F37" s="133" t="s">
        <v>40</v>
      </c>
      <c r="G37" s="133" t="s">
        <v>40</v>
      </c>
      <c r="H37" s="130">
        <f>'BGS PTY25 Cost Alloc'!H37</f>
        <v>0.44409999999999999</v>
      </c>
      <c r="I37" s="133" t="s">
        <v>40</v>
      </c>
      <c r="J37" s="30"/>
      <c r="K37" s="30"/>
      <c r="L37" s="26"/>
      <c r="M37" s="25"/>
      <c r="N37" s="26"/>
      <c r="O37" s="27"/>
      <c r="P37" s="27"/>
      <c r="Q37" s="27">
        <f t="shared" si="5"/>
        <v>0.63070000000000004</v>
      </c>
      <c r="R37" s="27"/>
      <c r="S37" s="27"/>
      <c r="T37" s="27">
        <f t="shared" si="6"/>
        <v>0.55590000000000006</v>
      </c>
      <c r="U37" s="27"/>
      <c r="V37" s="27"/>
      <c r="W37" s="27"/>
      <c r="X37" s="27"/>
      <c r="Y37" s="27"/>
      <c r="Z37" s="27"/>
    </row>
    <row r="38" spans="1:26" x14ac:dyDescent="0.2">
      <c r="A38" s="7"/>
      <c r="B38" s="23" t="s">
        <v>6</v>
      </c>
      <c r="C38" s="30"/>
      <c r="D38" s="112"/>
      <c r="E38" s="130">
        <f>'BGS PTY25 Cost Alloc'!E38</f>
        <v>0.40029999999999999</v>
      </c>
      <c r="F38" s="133" t="s">
        <v>40</v>
      </c>
      <c r="G38" s="133" t="s">
        <v>40</v>
      </c>
      <c r="H38" s="130">
        <f>'BGS PTY25 Cost Alloc'!H38</f>
        <v>0.45650000000000002</v>
      </c>
      <c r="I38" s="133" t="s">
        <v>40</v>
      </c>
      <c r="J38" s="30"/>
      <c r="K38" s="30"/>
      <c r="L38" s="26"/>
      <c r="M38" s="25"/>
      <c r="N38" s="26"/>
      <c r="O38" s="27"/>
      <c r="P38" s="27"/>
      <c r="Q38" s="27">
        <f t="shared" si="5"/>
        <v>0.59970000000000001</v>
      </c>
      <c r="R38" s="27"/>
      <c r="S38" s="27"/>
      <c r="T38" s="27">
        <f t="shared" si="6"/>
        <v>0.54349999999999998</v>
      </c>
      <c r="U38" s="27"/>
      <c r="V38" s="27"/>
      <c r="W38" s="27"/>
      <c r="X38" s="27"/>
      <c r="Y38" s="27"/>
      <c r="Z38" s="27"/>
    </row>
    <row r="39" spans="1:26" x14ac:dyDescent="0.2">
      <c r="A39" s="7"/>
      <c r="B39" s="23" t="s">
        <v>7</v>
      </c>
      <c r="C39" s="30"/>
      <c r="D39" s="112"/>
      <c r="E39" s="130">
        <f>'BGS PTY25 Cost Alloc'!E39</f>
        <v>0.4173</v>
      </c>
      <c r="F39" s="133" t="s">
        <v>40</v>
      </c>
      <c r="G39" s="133" t="s">
        <v>40</v>
      </c>
      <c r="H39" s="130">
        <f>'BGS PTY25 Cost Alloc'!H39</f>
        <v>0.4546</v>
      </c>
      <c r="I39" s="133" t="s">
        <v>40</v>
      </c>
      <c r="J39" s="30"/>
      <c r="K39" s="30"/>
      <c r="L39" s="26"/>
      <c r="M39" s="25"/>
      <c r="N39" s="26"/>
      <c r="O39" s="27"/>
      <c r="P39" s="27"/>
      <c r="Q39" s="27">
        <f t="shared" si="5"/>
        <v>0.5827</v>
      </c>
      <c r="R39" s="27"/>
      <c r="S39" s="27"/>
      <c r="T39" s="27">
        <f t="shared" si="6"/>
        <v>0.5454</v>
      </c>
      <c r="U39" s="27"/>
      <c r="V39" s="27"/>
      <c r="W39" s="27"/>
      <c r="X39" s="27"/>
      <c r="Y39" s="27"/>
      <c r="Z39" s="27"/>
    </row>
    <row r="40" spans="1:26" x14ac:dyDescent="0.2">
      <c r="A40" s="7"/>
      <c r="B40" s="23" t="s">
        <v>8</v>
      </c>
      <c r="C40" s="30"/>
      <c r="D40" s="112"/>
      <c r="E40" s="130">
        <f>'BGS PTY25 Cost Alloc'!E40</f>
        <v>0.41449999999999998</v>
      </c>
      <c r="F40" s="133" t="s">
        <v>40</v>
      </c>
      <c r="G40" s="133" t="s">
        <v>40</v>
      </c>
      <c r="H40" s="130">
        <f>'BGS PTY25 Cost Alloc'!H40</f>
        <v>0.45229999999999998</v>
      </c>
      <c r="I40" s="133" t="s">
        <v>40</v>
      </c>
      <c r="J40" s="30"/>
      <c r="K40" s="30"/>
      <c r="L40" s="26"/>
      <c r="M40" s="25"/>
      <c r="N40" s="26"/>
      <c r="O40" s="27"/>
      <c r="P40" s="27"/>
      <c r="Q40" s="27">
        <f t="shared" si="5"/>
        <v>0.58550000000000002</v>
      </c>
      <c r="R40" s="27"/>
      <c r="S40" s="27"/>
      <c r="T40" s="27">
        <f t="shared" si="6"/>
        <v>0.54770000000000008</v>
      </c>
      <c r="U40" s="27"/>
      <c r="V40" s="27"/>
      <c r="W40" s="27"/>
      <c r="X40" s="27"/>
      <c r="Y40" s="27"/>
      <c r="Z40" s="27"/>
    </row>
    <row r="41" spans="1:26" x14ac:dyDescent="0.2">
      <c r="A41" s="7"/>
      <c r="B41" s="23" t="s">
        <v>9</v>
      </c>
      <c r="C41" s="30"/>
      <c r="D41" s="112"/>
      <c r="E41" s="130">
        <f>'BGS PTY25 Cost Alloc'!E41</f>
        <v>0.39290000000000003</v>
      </c>
      <c r="F41" s="133" t="s">
        <v>40</v>
      </c>
      <c r="G41" s="133" t="s">
        <v>40</v>
      </c>
      <c r="H41" s="130">
        <f>'BGS PTY25 Cost Alloc'!H41</f>
        <v>0.45179999999999998</v>
      </c>
      <c r="I41" s="133" t="s">
        <v>40</v>
      </c>
      <c r="J41" s="30"/>
      <c r="K41" s="30"/>
      <c r="L41" s="26"/>
      <c r="M41" s="25"/>
      <c r="N41" s="26"/>
      <c r="O41" s="27"/>
      <c r="P41" s="27"/>
      <c r="Q41" s="27">
        <f t="shared" si="5"/>
        <v>0.60709999999999997</v>
      </c>
      <c r="R41" s="27"/>
      <c r="S41" s="27"/>
      <c r="T41" s="27">
        <f t="shared" si="6"/>
        <v>0.54820000000000002</v>
      </c>
      <c r="U41" s="27"/>
      <c r="V41" s="27"/>
      <c r="W41" s="27"/>
      <c r="X41" s="27"/>
      <c r="Y41" s="27"/>
      <c r="Z41" s="27"/>
    </row>
    <row r="42" spans="1:26" x14ac:dyDescent="0.2">
      <c r="A42" s="7"/>
      <c r="B42" s="23" t="s">
        <v>10</v>
      </c>
      <c r="C42" s="30"/>
      <c r="D42" s="112"/>
      <c r="E42" s="130">
        <f>'BGS PTY25 Cost Alloc'!E42</f>
        <v>0.36020000000000002</v>
      </c>
      <c r="F42" s="133" t="s">
        <v>40</v>
      </c>
      <c r="G42" s="133" t="s">
        <v>40</v>
      </c>
      <c r="H42" s="130">
        <f>'BGS PTY25 Cost Alloc'!H42</f>
        <v>0.45150000000000001</v>
      </c>
      <c r="I42" s="133" t="s">
        <v>40</v>
      </c>
      <c r="J42" s="30"/>
      <c r="K42" s="30"/>
      <c r="L42" s="26"/>
      <c r="M42" s="25"/>
      <c r="N42" s="26"/>
      <c r="O42" s="27"/>
      <c r="P42" s="27"/>
      <c r="Q42" s="27">
        <f t="shared" si="5"/>
        <v>0.63979999999999992</v>
      </c>
      <c r="R42" s="27"/>
      <c r="S42" s="27"/>
      <c r="T42" s="27">
        <f t="shared" si="6"/>
        <v>0.54849999999999999</v>
      </c>
      <c r="U42" s="27"/>
      <c r="V42" s="27"/>
      <c r="W42" s="27"/>
      <c r="X42" s="27"/>
      <c r="Y42" s="27"/>
      <c r="Z42" s="27"/>
    </row>
    <row r="43" spans="1:26" x14ac:dyDescent="0.2">
      <c r="A43" s="7"/>
      <c r="B43" s="23" t="s">
        <v>11</v>
      </c>
      <c r="C43" s="30"/>
      <c r="D43" s="112"/>
      <c r="E43" s="130">
        <f>'BGS PTY25 Cost Alloc'!E43</f>
        <v>0.34989999999999999</v>
      </c>
      <c r="F43" s="133" t="s">
        <v>40</v>
      </c>
      <c r="G43" s="133" t="s">
        <v>40</v>
      </c>
      <c r="H43" s="130">
        <f>'BGS PTY25 Cost Alloc'!H43</f>
        <v>0.44180000000000003</v>
      </c>
      <c r="I43" s="133" t="s">
        <v>40</v>
      </c>
      <c r="J43" s="30"/>
      <c r="K43" s="30"/>
      <c r="L43" s="26"/>
      <c r="M43" s="25"/>
      <c r="N43" s="26"/>
      <c r="O43" s="27"/>
      <c r="P43" s="27"/>
      <c r="Q43" s="27">
        <f t="shared" si="5"/>
        <v>0.65010000000000001</v>
      </c>
      <c r="R43" s="27"/>
      <c r="S43" s="27"/>
      <c r="T43" s="27">
        <f t="shared" si="6"/>
        <v>0.55820000000000003</v>
      </c>
      <c r="U43" s="27"/>
      <c r="V43" s="27"/>
      <c r="W43" s="27"/>
      <c r="X43" s="27"/>
      <c r="Y43" s="27"/>
      <c r="Z43" s="27"/>
    </row>
    <row r="44" spans="1:26" x14ac:dyDescent="0.2">
      <c r="A44" s="7"/>
      <c r="B44" s="23" t="s">
        <v>12</v>
      </c>
      <c r="C44" s="30"/>
      <c r="D44" s="112"/>
      <c r="E44" s="130">
        <f>'BGS PTY25 Cost Alloc'!E44</f>
        <v>0.3493</v>
      </c>
      <c r="F44" s="133" t="s">
        <v>40</v>
      </c>
      <c r="G44" s="133" t="s">
        <v>40</v>
      </c>
      <c r="H44" s="130">
        <f>'BGS PTY25 Cost Alloc'!H44</f>
        <v>0.4289</v>
      </c>
      <c r="I44" s="133" t="s">
        <v>40</v>
      </c>
      <c r="J44" s="30"/>
      <c r="K44" s="30"/>
      <c r="L44" s="26"/>
      <c r="M44" s="25"/>
      <c r="N44" s="26"/>
      <c r="O44" s="27"/>
      <c r="P44" s="27"/>
      <c r="Q44" s="27">
        <f t="shared" si="5"/>
        <v>0.65070000000000006</v>
      </c>
      <c r="R44" s="27"/>
      <c r="S44" s="27"/>
      <c r="T44" s="27">
        <f t="shared" si="6"/>
        <v>0.57109999999999994</v>
      </c>
      <c r="U44" s="27"/>
      <c r="V44" s="27"/>
      <c r="W44" s="27"/>
      <c r="X44" s="27"/>
      <c r="Y44" s="27"/>
      <c r="Z44" s="27"/>
    </row>
    <row r="45" spans="1:26" x14ac:dyDescent="0.2">
      <c r="A45" s="7"/>
      <c r="B45" s="23"/>
      <c r="C45" s="30"/>
      <c r="D45" s="30"/>
      <c r="E45" s="30"/>
      <c r="F45" s="30"/>
      <c r="G45" s="30"/>
      <c r="H45" s="30"/>
      <c r="I45" s="30"/>
      <c r="J45" s="30"/>
      <c r="K45" s="30"/>
      <c r="L45" s="26"/>
      <c r="M45" s="25"/>
      <c r="N45" s="26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x14ac:dyDescent="0.2">
      <c r="A46" s="7"/>
      <c r="B46" s="31" t="s">
        <v>202</v>
      </c>
      <c r="C46" s="30"/>
      <c r="D46" s="30"/>
      <c r="E46" s="30"/>
      <c r="F46" s="30"/>
      <c r="G46" s="30"/>
      <c r="H46" s="30"/>
      <c r="I46" s="30"/>
      <c r="J46" s="30"/>
      <c r="K46" s="30"/>
      <c r="L46" s="26"/>
      <c r="M46" s="25"/>
      <c r="N46" s="26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x14ac:dyDescent="0.2">
      <c r="A47" s="7"/>
      <c r="B47" s="31" t="s">
        <v>213</v>
      </c>
      <c r="C47" s="26"/>
      <c r="D47" s="26"/>
      <c r="E47" s="26"/>
      <c r="F47" s="26"/>
      <c r="G47" s="26"/>
      <c r="H47" s="26"/>
      <c r="I47" s="28"/>
      <c r="J47" s="28"/>
      <c r="K47" s="26"/>
      <c r="L47" s="26"/>
      <c r="M47" s="26"/>
      <c r="N47" s="26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x14ac:dyDescent="0.2">
      <c r="A48" s="7"/>
      <c r="B48" s="31" t="s">
        <v>66</v>
      </c>
      <c r="C48" s="26"/>
      <c r="D48" s="26"/>
      <c r="E48" s="26"/>
      <c r="F48" s="26"/>
      <c r="G48" s="26"/>
      <c r="H48" s="26"/>
      <c r="I48" s="28"/>
      <c r="J48" s="28"/>
      <c r="K48" s="26"/>
      <c r="L48" s="26"/>
      <c r="M48" s="26"/>
      <c r="N48" s="26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33" x14ac:dyDescent="0.2">
      <c r="A49" s="7"/>
      <c r="B49" s="31" t="s">
        <v>67</v>
      </c>
      <c r="C49" s="26"/>
      <c r="D49" s="26"/>
      <c r="E49" s="26"/>
      <c r="F49" s="26"/>
      <c r="G49" s="26"/>
      <c r="H49" s="26"/>
      <c r="I49" s="28"/>
      <c r="J49" s="28"/>
      <c r="K49" s="26"/>
      <c r="L49" s="26"/>
      <c r="M49" s="26"/>
      <c r="N49" s="26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33" x14ac:dyDescent="0.2">
      <c r="A50" s="7"/>
      <c r="B50" s="31" t="s">
        <v>68</v>
      </c>
      <c r="C50" s="26"/>
      <c r="D50" s="26"/>
      <c r="E50" s="26"/>
      <c r="F50" s="26"/>
      <c r="G50" s="26"/>
      <c r="H50" s="26"/>
      <c r="I50" s="28"/>
      <c r="J50" s="28"/>
      <c r="K50" s="26"/>
      <c r="L50" s="26"/>
      <c r="M50" s="26"/>
      <c r="N50" s="26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33" x14ac:dyDescent="0.2">
      <c r="A51" s="7"/>
      <c r="B51" s="23"/>
      <c r="C51" s="26"/>
      <c r="D51" s="26"/>
      <c r="E51" s="26"/>
      <c r="F51" s="26"/>
      <c r="G51" s="26"/>
      <c r="H51" s="26"/>
      <c r="I51" s="28"/>
      <c r="J51" s="28"/>
      <c r="K51" s="26"/>
      <c r="L51" s="26"/>
      <c r="M51" s="26"/>
      <c r="N51" s="26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33" ht="15.75" x14ac:dyDescent="0.25">
      <c r="A52" s="7"/>
      <c r="B52" s="504" t="str">
        <f>$B$1</f>
        <v xml:space="preserve">Jersey Central Power &amp; Light </v>
      </c>
      <c r="C52" s="504"/>
      <c r="D52" s="504"/>
      <c r="E52" s="504"/>
      <c r="F52" s="504"/>
      <c r="G52" s="504"/>
      <c r="H52" s="504"/>
      <c r="I52" s="504"/>
      <c r="J52" s="504"/>
      <c r="K52" s="504"/>
      <c r="L52" s="504"/>
      <c r="M52" s="26"/>
      <c r="N52" s="26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33" ht="15.75" x14ac:dyDescent="0.25">
      <c r="A53" s="7"/>
      <c r="B53" s="504" t="str">
        <f>$B$2</f>
        <v>Attachment 2</v>
      </c>
      <c r="C53" s="504"/>
      <c r="D53" s="504"/>
      <c r="E53" s="504"/>
      <c r="F53" s="504"/>
      <c r="G53" s="504"/>
      <c r="H53" s="504"/>
      <c r="I53" s="504"/>
      <c r="J53" s="504"/>
      <c r="K53" s="504"/>
      <c r="L53" s="504"/>
      <c r="M53" s="26"/>
      <c r="N53" s="26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33" x14ac:dyDescent="0.2">
      <c r="A54" s="7"/>
      <c r="B54" s="23"/>
      <c r="C54" s="26"/>
      <c r="D54" s="26"/>
      <c r="E54" s="26"/>
      <c r="F54" s="26"/>
      <c r="G54" s="26"/>
      <c r="H54" s="26"/>
      <c r="I54" s="28"/>
      <c r="J54" s="28"/>
      <c r="K54" s="26"/>
      <c r="L54" s="26"/>
      <c r="M54" s="26"/>
      <c r="N54" s="26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33" x14ac:dyDescent="0.2">
      <c r="A55" s="7"/>
      <c r="B55" s="23"/>
      <c r="C55" s="26"/>
      <c r="D55" s="26"/>
      <c r="E55" s="26"/>
      <c r="F55" s="26"/>
      <c r="G55" s="26"/>
      <c r="H55" s="26"/>
      <c r="I55" s="28"/>
      <c r="J55" s="28"/>
      <c r="K55" s="26"/>
      <c r="L55" s="26"/>
      <c r="M55" s="26"/>
      <c r="N55" s="26"/>
      <c r="O55" s="27"/>
      <c r="P55" s="27"/>
      <c r="Q55" s="27"/>
      <c r="R55" s="27"/>
      <c r="S55" s="27"/>
      <c r="T55" s="27"/>
      <c r="U55" s="27"/>
      <c r="V55" s="27"/>
      <c r="W55" s="144" t="str">
        <f>'BGS PTY25 Cost Alloc'!Y55</f>
        <v>Forecast 2026 Delivery MWh</v>
      </c>
      <c r="X55" s="145"/>
      <c r="Y55" s="145"/>
      <c r="Z55" s="26"/>
    </row>
    <row r="56" spans="1:33" x14ac:dyDescent="0.2">
      <c r="A56" s="6" t="s">
        <v>36</v>
      </c>
      <c r="B56" s="32" t="s">
        <v>48</v>
      </c>
      <c r="E56" s="26"/>
      <c r="F56" s="26"/>
      <c r="G56" s="26"/>
      <c r="H56" s="26"/>
      <c r="I56" s="28"/>
      <c r="J56" s="28"/>
      <c r="O56" s="1"/>
      <c r="W56" s="1"/>
      <c r="X56" s="1"/>
      <c r="Z56" s="142" t="s">
        <v>247</v>
      </c>
    </row>
    <row r="57" spans="1:33" x14ac:dyDescent="0.2">
      <c r="A57" s="7"/>
      <c r="B57" s="33" t="str">
        <f>'BGS PTY25 Cost Alloc'!$B$57</f>
        <v>calendar month sales forecasted for 2026</v>
      </c>
      <c r="N57" s="34"/>
      <c r="O57" s="35"/>
      <c r="P57" s="35"/>
      <c r="Q57" s="35" t="s">
        <v>129</v>
      </c>
      <c r="R57" s="35"/>
      <c r="S57" s="35"/>
      <c r="T57" s="35"/>
      <c r="U57" s="36"/>
      <c r="W57" s="2" t="s">
        <v>13</v>
      </c>
    </row>
    <row r="58" spans="1:33" x14ac:dyDescent="0.2">
      <c r="A58" s="7"/>
      <c r="B58" s="15" t="s">
        <v>38</v>
      </c>
      <c r="C58" s="2"/>
      <c r="D58" s="2"/>
      <c r="E58" s="2" t="str">
        <f>+E$13</f>
        <v>RT{1}</v>
      </c>
      <c r="F58" s="2" t="str">
        <f>+F$13</f>
        <v>RS{2}</v>
      </c>
      <c r="G58" s="2" t="str">
        <f>+G$13</f>
        <v>GS{3}</v>
      </c>
      <c r="H58" s="2" t="s">
        <v>203</v>
      </c>
      <c r="I58" s="2" t="str">
        <f>+I$13</f>
        <v>OL/SL</v>
      </c>
      <c r="J58" s="2" t="s">
        <v>13</v>
      </c>
      <c r="K58" s="2"/>
      <c r="L58" s="2"/>
      <c r="M58" s="2" t="s">
        <v>179</v>
      </c>
      <c r="N58" s="37"/>
      <c r="O58" s="2"/>
      <c r="P58" s="2"/>
      <c r="Q58" s="2" t="str">
        <f>+Q$13</f>
        <v>RT{1}</v>
      </c>
      <c r="R58" s="2" t="str">
        <f>+R$13</f>
        <v>RS{2}</v>
      </c>
      <c r="S58" s="2" t="str">
        <f>+S$13</f>
        <v>GS{3}</v>
      </c>
      <c r="T58" s="2" t="str">
        <f>+T$13</f>
        <v>GST</v>
      </c>
      <c r="U58" s="38" t="str">
        <f>+U$13</f>
        <v>OL/SL</v>
      </c>
      <c r="V58" s="2"/>
      <c r="W58" s="2" t="s">
        <v>59</v>
      </c>
      <c r="X58" s="2" t="s">
        <v>64</v>
      </c>
      <c r="Y58" s="2" t="s">
        <v>63</v>
      </c>
      <c r="Z58" s="2" t="s">
        <v>60</v>
      </c>
      <c r="AA58" s="2" t="s">
        <v>52</v>
      </c>
      <c r="AB58" s="2" t="s">
        <v>0</v>
      </c>
      <c r="AC58" s="2" t="s">
        <v>53</v>
      </c>
      <c r="AD58" s="2" t="s">
        <v>53</v>
      </c>
      <c r="AG58" s="2" t="s">
        <v>54</v>
      </c>
    </row>
    <row r="59" spans="1:33" x14ac:dyDescent="0.2">
      <c r="A59" s="7"/>
      <c r="M59" s="1" t="s">
        <v>180</v>
      </c>
      <c r="N59" s="39"/>
      <c r="U59" s="40"/>
    </row>
    <row r="60" spans="1:33" x14ac:dyDescent="0.2">
      <c r="A60" s="7"/>
      <c r="B60" s="23" t="s">
        <v>1</v>
      </c>
      <c r="C60" s="41"/>
      <c r="D60" s="41"/>
      <c r="E60" s="42">
        <f>'BGS PTY25 Cost Alloc'!E60</f>
        <v>19934</v>
      </c>
      <c r="F60" s="42">
        <f>'BGS PTY25 Cost Alloc'!F60</f>
        <v>897524</v>
      </c>
      <c r="G60" s="42">
        <f>'BGS PTY25 Cost Alloc'!G60</f>
        <v>508052</v>
      </c>
      <c r="H60" s="42">
        <f>'BGS PTY25 Cost Alloc'!H60</f>
        <v>14709</v>
      </c>
      <c r="I60" s="42">
        <f>'BGS PTY25 Cost Alloc'!I60</f>
        <v>10067</v>
      </c>
      <c r="J60" s="42">
        <f t="shared" ref="J60:J72" si="7">SUM(E60:I60)</f>
        <v>1450286</v>
      </c>
      <c r="K60" s="41"/>
      <c r="L60" s="41"/>
      <c r="M60" s="42">
        <f t="shared" ref="M60:M71" si="8">E60-ROUND(SUM($W60/1000),0)</f>
        <v>19317</v>
      </c>
      <c r="N60" s="43" t="s">
        <v>28</v>
      </c>
      <c r="O60" s="44"/>
      <c r="P60" s="4"/>
      <c r="Q60" s="4">
        <f>SUM(E60:E64,E69:E71)</f>
        <v>115223</v>
      </c>
      <c r="R60" s="4">
        <f>SUM(F60:F64,F69:F71)</f>
        <v>5612850</v>
      </c>
      <c r="S60" s="4">
        <f>SUM(G60:G64,G69:G71)</f>
        <v>3714049</v>
      </c>
      <c r="T60" s="4">
        <f>SUM(H60:H64,H69:H71)</f>
        <v>113111</v>
      </c>
      <c r="U60" s="45">
        <f>SUM(I60:I64,I69:I71)</f>
        <v>80621</v>
      </c>
      <c r="V60" s="143">
        <f>'BGS PTY25 Cost Alloc'!V60</f>
        <v>46023</v>
      </c>
      <c r="W60" s="42">
        <f>'BGS PTY25 Cost Alloc'!W60</f>
        <v>616868</v>
      </c>
      <c r="X60" s="42">
        <f>'BGS PTY25 Cost Alloc'!X60</f>
        <v>12508</v>
      </c>
      <c r="Y60" s="4">
        <f t="shared" ref="Y60:Y71" si="9">W60-X60</f>
        <v>604360</v>
      </c>
      <c r="Z60" s="42">
        <f>'BGS PTY25 Cost Alloc'!Z60</f>
        <v>1795515</v>
      </c>
      <c r="AA60" s="42">
        <f>'BGS PTY25 Cost Alloc'!AA60</f>
        <v>19317.195</v>
      </c>
      <c r="AB60" s="42">
        <f>'BGS PTY25 Cost Alloc'!AB60</f>
        <v>895728.21699999995</v>
      </c>
      <c r="AC60" s="42">
        <f>'BGS PTY25 Cost Alloc'!AC60</f>
        <v>508064.58100000001</v>
      </c>
      <c r="AD60" s="42">
        <f>'BGS PTY25 Cost Alloc'!AD60</f>
        <v>558108.875</v>
      </c>
      <c r="AG60" s="42">
        <f>'BGS PTY25 Cost Alloc'!AG60</f>
        <v>14709.368</v>
      </c>
    </row>
    <row r="61" spans="1:33" x14ac:dyDescent="0.2">
      <c r="A61" s="7"/>
      <c r="B61" s="23" t="s">
        <v>2</v>
      </c>
      <c r="C61" s="41"/>
      <c r="D61" s="41"/>
      <c r="E61" s="42">
        <f>'BGS PTY25 Cost Alloc'!E61</f>
        <v>17010</v>
      </c>
      <c r="F61" s="42">
        <f>'BGS PTY25 Cost Alloc'!F61</f>
        <v>738594</v>
      </c>
      <c r="G61" s="42">
        <f>'BGS PTY25 Cost Alloc'!G61</f>
        <v>456957</v>
      </c>
      <c r="H61" s="42">
        <f>'BGS PTY25 Cost Alloc'!H61</f>
        <v>13966</v>
      </c>
      <c r="I61" s="42">
        <f>'BGS PTY25 Cost Alloc'!I61</f>
        <v>10069</v>
      </c>
      <c r="J61" s="42">
        <f t="shared" si="7"/>
        <v>1236596</v>
      </c>
      <c r="K61" s="41"/>
      <c r="L61" s="41"/>
      <c r="M61" s="42">
        <f t="shared" si="8"/>
        <v>16489</v>
      </c>
      <c r="N61" s="43"/>
      <c r="O61" s="44"/>
      <c r="P61" s="73" t="s">
        <v>193</v>
      </c>
      <c r="Q61" s="4">
        <f>SUMPRODUCT(E33:E37,M60:M64)+SUMPRODUCT(E42:E44,M69:M71)</f>
        <v>38323.476999999999</v>
      </c>
      <c r="S61" s="5" t="s">
        <v>177</v>
      </c>
      <c r="T61" s="4">
        <f>SUMPRODUCT(H33:H37,H60:H64)+SUMPRODUCT(H42:H44,H69:H71)</f>
        <v>48727.693200000002</v>
      </c>
      <c r="U61" s="40">
        <f>T61/T60</f>
        <v>0.43079535323708573</v>
      </c>
      <c r="V61" s="143">
        <f>'BGS PTY25 Cost Alloc'!V61</f>
        <v>46054</v>
      </c>
      <c r="W61" s="42">
        <f>'BGS PTY25 Cost Alloc'!W61</f>
        <v>520716</v>
      </c>
      <c r="X61" s="42">
        <f>'BGS PTY25 Cost Alloc'!X61</f>
        <v>11630</v>
      </c>
      <c r="Y61" s="4">
        <f t="shared" si="9"/>
        <v>509086</v>
      </c>
      <c r="Z61" s="42">
        <f>'BGS PTY25 Cost Alloc'!Z61</f>
        <v>1522481</v>
      </c>
      <c r="AA61" s="42">
        <f>'BGS PTY25 Cost Alloc'!AA61</f>
        <v>16488.766</v>
      </c>
      <c r="AB61" s="42">
        <f>'BGS PTY25 Cost Alloc'!AB61</f>
        <v>737072.12800000003</v>
      </c>
      <c r="AC61" s="42">
        <f>'BGS PTY25 Cost Alloc'!AC61</f>
        <v>456969.03200000001</v>
      </c>
      <c r="AD61" s="42">
        <f>'BGS PTY25 Cost Alloc'!AD61</f>
        <v>505468.277</v>
      </c>
      <c r="AG61" s="42">
        <f>'BGS PTY25 Cost Alloc'!AG61</f>
        <v>13966.285</v>
      </c>
    </row>
    <row r="62" spans="1:33" x14ac:dyDescent="0.2">
      <c r="A62" s="7"/>
      <c r="B62" s="23" t="s">
        <v>3</v>
      </c>
      <c r="C62" s="41"/>
      <c r="D62" s="41"/>
      <c r="E62" s="42">
        <f>'BGS PTY25 Cost Alloc'!E62</f>
        <v>15988</v>
      </c>
      <c r="F62" s="42">
        <f>'BGS PTY25 Cost Alloc'!F62</f>
        <v>706497</v>
      </c>
      <c r="G62" s="42">
        <f>'BGS PTY25 Cost Alloc'!G62</f>
        <v>467404</v>
      </c>
      <c r="H62" s="42">
        <f>'BGS PTY25 Cost Alloc'!H62</f>
        <v>13555</v>
      </c>
      <c r="I62" s="42">
        <f>'BGS PTY25 Cost Alloc'!I62</f>
        <v>10070</v>
      </c>
      <c r="J62" s="42">
        <f t="shared" si="7"/>
        <v>1213514</v>
      </c>
      <c r="K62" s="41"/>
      <c r="L62" s="41"/>
      <c r="M62" s="42">
        <f t="shared" si="8"/>
        <v>15463</v>
      </c>
      <c r="N62" s="43"/>
      <c r="O62" s="44"/>
      <c r="P62" s="73" t="s">
        <v>194</v>
      </c>
      <c r="Q62" s="4">
        <f>SUMPRODUCT(Q33:Q37,M60:M64)+SUMPRODUCT(Q42:Q44,M69:M71)</f>
        <v>71208.523000000001</v>
      </c>
      <c r="S62" s="5" t="s">
        <v>178</v>
      </c>
      <c r="T62" s="4">
        <f>+T60-T61</f>
        <v>64383.306799999998</v>
      </c>
      <c r="U62" s="40"/>
      <c r="V62" s="143">
        <f>'BGS PTY25 Cost Alloc'!V62</f>
        <v>46082</v>
      </c>
      <c r="W62" s="42">
        <f>'BGS PTY25 Cost Alloc'!W62</f>
        <v>525070</v>
      </c>
      <c r="X62" s="42">
        <f>'BGS PTY25 Cost Alloc'!X62</f>
        <v>10927</v>
      </c>
      <c r="Y62" s="4">
        <f t="shared" si="9"/>
        <v>514143</v>
      </c>
      <c r="Z62" s="42">
        <f>'BGS PTY25 Cost Alloc'!Z62</f>
        <v>1366144</v>
      </c>
      <c r="AA62" s="42">
        <f>'BGS PTY25 Cost Alloc'!AA62</f>
        <v>15462.710999999999</v>
      </c>
      <c r="AB62" s="42">
        <f>'BGS PTY25 Cost Alloc'!AB62</f>
        <v>705130.97900000005</v>
      </c>
      <c r="AC62" s="42">
        <f>'BGS PTY25 Cost Alloc'!AC62</f>
        <v>467414.94400000002</v>
      </c>
      <c r="AD62" s="42">
        <f>'BGS PTY25 Cost Alloc'!AD62</f>
        <v>515049.34700000001</v>
      </c>
      <c r="AG62" s="42">
        <f>'BGS PTY25 Cost Alloc'!AG62</f>
        <v>13555.12</v>
      </c>
    </row>
    <row r="63" spans="1:33" x14ac:dyDescent="0.2">
      <c r="A63" s="7"/>
      <c r="B63" s="23" t="s">
        <v>4</v>
      </c>
      <c r="C63" s="41"/>
      <c r="D63" s="41"/>
      <c r="E63" s="42">
        <f>'BGS PTY25 Cost Alloc'!E63</f>
        <v>12070</v>
      </c>
      <c r="F63" s="42">
        <f>'BGS PTY25 Cost Alloc'!F63</f>
        <v>550986</v>
      </c>
      <c r="G63" s="42">
        <f>'BGS PTY25 Cost Alloc'!G63</f>
        <v>432993</v>
      </c>
      <c r="H63" s="42">
        <f>'BGS PTY25 Cost Alloc'!H63</f>
        <v>13768</v>
      </c>
      <c r="I63" s="42">
        <f>'BGS PTY25 Cost Alloc'!I63</f>
        <v>10078</v>
      </c>
      <c r="J63" s="42">
        <f t="shared" si="7"/>
        <v>1019895</v>
      </c>
      <c r="K63" s="41"/>
      <c r="L63" s="41"/>
      <c r="M63" s="42">
        <f t="shared" si="8"/>
        <v>11212</v>
      </c>
      <c r="N63" s="39"/>
      <c r="P63" s="73" t="s">
        <v>195</v>
      </c>
      <c r="Q63" s="4">
        <f>SUM(W60:W64,W69:W71)/1000</f>
        <v>5691.3419999999996</v>
      </c>
      <c r="U63" s="40"/>
      <c r="V63" s="143">
        <f>'BGS PTY25 Cost Alloc'!V63</f>
        <v>46113</v>
      </c>
      <c r="W63" s="42">
        <f>'BGS PTY25 Cost Alloc'!W63</f>
        <v>857967</v>
      </c>
      <c r="X63" s="42">
        <f>'BGS PTY25 Cost Alloc'!X63</f>
        <v>21326</v>
      </c>
      <c r="Y63" s="4">
        <f t="shared" si="9"/>
        <v>836641</v>
      </c>
      <c r="Z63" s="42">
        <f>'BGS PTY25 Cost Alloc'!Z63</f>
        <v>975851</v>
      </c>
      <c r="AA63" s="42">
        <f>'BGS PTY25 Cost Alloc'!AA63</f>
        <v>11212.025</v>
      </c>
      <c r="AB63" s="42">
        <f>'BGS PTY25 Cost Alloc'!AB63</f>
        <v>550009.79799999995</v>
      </c>
      <c r="AC63" s="42">
        <f>'BGS PTY25 Cost Alloc'!AC63</f>
        <v>433013.89899999998</v>
      </c>
      <c r="AD63" s="42">
        <f>'BGS PTY25 Cost Alloc'!AD63</f>
        <v>482088.13</v>
      </c>
      <c r="AG63" s="42">
        <f>'BGS PTY25 Cost Alloc'!AG63</f>
        <v>13767.583000000001</v>
      </c>
    </row>
    <row r="64" spans="1:33" x14ac:dyDescent="0.2">
      <c r="A64" s="7"/>
      <c r="B64" s="23" t="s">
        <v>5</v>
      </c>
      <c r="C64" s="41"/>
      <c r="D64" s="41"/>
      <c r="E64" s="42">
        <f>'BGS PTY25 Cost Alloc'!E64</f>
        <v>11940</v>
      </c>
      <c r="F64" s="42">
        <f>'BGS PTY25 Cost Alloc'!F64</f>
        <v>642034</v>
      </c>
      <c r="G64" s="42">
        <f>'BGS PTY25 Cost Alloc'!G64</f>
        <v>446623</v>
      </c>
      <c r="H64" s="42">
        <f>'BGS PTY25 Cost Alloc'!H64</f>
        <v>13994</v>
      </c>
      <c r="I64" s="42">
        <f>'BGS PTY25 Cost Alloc'!I64</f>
        <v>10079</v>
      </c>
      <c r="J64" s="42">
        <f t="shared" si="7"/>
        <v>1124670</v>
      </c>
      <c r="K64" s="41"/>
      <c r="L64" s="41"/>
      <c r="M64" s="42">
        <f t="shared" si="8"/>
        <v>10961</v>
      </c>
      <c r="N64" s="43" t="s">
        <v>29</v>
      </c>
      <c r="O64" s="44"/>
      <c r="P64" s="4"/>
      <c r="Q64" s="4">
        <f>+SUM(E65:E68)</f>
        <v>59568</v>
      </c>
      <c r="R64" s="4">
        <f>+SUM(F65:F68)</f>
        <v>4035706</v>
      </c>
      <c r="S64" s="4">
        <f>+SUM(G65:G68)</f>
        <v>2091570</v>
      </c>
      <c r="T64" s="4">
        <f>+SUM(H65:H68)</f>
        <v>53951</v>
      </c>
      <c r="U64" s="45">
        <f>+SUM(I65:I68)</f>
        <v>40326</v>
      </c>
      <c r="V64" s="143">
        <f>'BGS PTY25 Cost Alloc'!V64</f>
        <v>46143</v>
      </c>
      <c r="W64" s="42">
        <f>'BGS PTY25 Cost Alloc'!W64</f>
        <v>979156</v>
      </c>
      <c r="X64" s="42">
        <f>'BGS PTY25 Cost Alloc'!X64</f>
        <v>20504</v>
      </c>
      <c r="Y64" s="4">
        <f t="shared" si="9"/>
        <v>958652</v>
      </c>
      <c r="Z64" s="42">
        <f>'BGS PTY25 Cost Alloc'!Z64</f>
        <v>904502</v>
      </c>
      <c r="AA64" s="42">
        <f>'BGS PTY25 Cost Alloc'!AA64</f>
        <v>10961.432000000001</v>
      </c>
      <c r="AB64" s="42">
        <f>'BGS PTY25 Cost Alloc'!AB64</f>
        <v>641129.071</v>
      </c>
      <c r="AC64" s="42">
        <f>'BGS PTY25 Cost Alloc'!AC64</f>
        <v>446644.12799999997</v>
      </c>
      <c r="AD64" s="42">
        <f>'BGS PTY25 Cost Alloc'!AD64</f>
        <v>498069.98</v>
      </c>
      <c r="AG64" s="42">
        <f>'BGS PTY25 Cost Alloc'!AG64</f>
        <v>13994.22</v>
      </c>
    </row>
    <row r="65" spans="1:34" x14ac:dyDescent="0.2">
      <c r="A65" s="7"/>
      <c r="B65" s="23" t="s">
        <v>6</v>
      </c>
      <c r="C65" s="41"/>
      <c r="D65" s="41"/>
      <c r="E65" s="42">
        <f>'BGS PTY25 Cost Alloc'!E65</f>
        <v>13721</v>
      </c>
      <c r="F65" s="42">
        <f>'BGS PTY25 Cost Alloc'!F65</f>
        <v>876168</v>
      </c>
      <c r="G65" s="42">
        <f>'BGS PTY25 Cost Alloc'!G65</f>
        <v>508179</v>
      </c>
      <c r="H65" s="42">
        <f>'BGS PTY25 Cost Alloc'!H65</f>
        <v>15196</v>
      </c>
      <c r="I65" s="42">
        <f>'BGS PTY25 Cost Alloc'!I65</f>
        <v>10080</v>
      </c>
      <c r="J65" s="42">
        <f t="shared" si="7"/>
        <v>1423344</v>
      </c>
      <c r="K65" s="41"/>
      <c r="L65" s="42"/>
      <c r="M65" s="42">
        <f t="shared" si="8"/>
        <v>13051</v>
      </c>
      <c r="N65" s="43"/>
      <c r="O65" s="44"/>
      <c r="P65" s="134" t="s">
        <v>151</v>
      </c>
      <c r="Q65" s="42">
        <f>SUMPRODUCT(E38:E41,M65:M68)</f>
        <v>23323.231899999999</v>
      </c>
      <c r="R65" s="42">
        <f>'BGS PTY25 Cost Alloc'!R65</f>
        <v>2024892.4966168683</v>
      </c>
      <c r="S65" s="5" t="s">
        <v>177</v>
      </c>
      <c r="T65" s="4">
        <f>+SUMPRODUCT(H38:H41,H65:H68)</f>
        <v>24495.801499999998</v>
      </c>
      <c r="U65" s="46">
        <f>T65/T64</f>
        <v>0.45403795110377931</v>
      </c>
      <c r="V65" s="143">
        <f>'BGS PTY25 Cost Alloc'!V65</f>
        <v>46174</v>
      </c>
      <c r="W65" s="42">
        <f>'BGS PTY25 Cost Alloc'!W65</f>
        <v>669645</v>
      </c>
      <c r="X65" s="42">
        <f>'BGS PTY25 Cost Alloc'!X65</f>
        <v>19953</v>
      </c>
      <c r="Y65" s="4">
        <f t="shared" si="9"/>
        <v>649692</v>
      </c>
      <c r="Z65" s="42">
        <f>'BGS PTY25 Cost Alloc'!Z65</f>
        <v>1060636</v>
      </c>
      <c r="AA65" s="42">
        <f>'BGS PTY25 Cost Alloc'!AA65</f>
        <v>11991.019</v>
      </c>
      <c r="AB65" s="42">
        <f>'BGS PTY25 Cost Alloc'!AB65</f>
        <v>876167.61899999995</v>
      </c>
      <c r="AC65" s="42">
        <f>'BGS PTY25 Cost Alloc'!AC65</f>
        <v>508199.04200000002</v>
      </c>
      <c r="AD65" s="42">
        <f>'BGS PTY25 Cost Alloc'!AD65</f>
        <v>558912.14500000002</v>
      </c>
      <c r="AG65" s="42">
        <f>'BGS PTY25 Cost Alloc'!AG65</f>
        <v>15196.123</v>
      </c>
    </row>
    <row r="66" spans="1:34" x14ac:dyDescent="0.2">
      <c r="A66" s="7"/>
      <c r="B66" s="23" t="s">
        <v>7</v>
      </c>
      <c r="C66" s="41"/>
      <c r="D66" s="41"/>
      <c r="E66" s="42">
        <f>'BGS PTY25 Cost Alloc'!E66</f>
        <v>17769</v>
      </c>
      <c r="F66" s="42">
        <f>'BGS PTY25 Cost Alloc'!F66</f>
        <v>1217293</v>
      </c>
      <c r="G66" s="42">
        <f>'BGS PTY25 Cost Alloc'!G66</f>
        <v>575382</v>
      </c>
      <c r="H66" s="42">
        <f>'BGS PTY25 Cost Alloc'!H66</f>
        <v>15090</v>
      </c>
      <c r="I66" s="42">
        <f>'BGS PTY25 Cost Alloc'!I66</f>
        <v>10081</v>
      </c>
      <c r="J66" s="42">
        <f t="shared" si="7"/>
        <v>1835615</v>
      </c>
      <c r="K66" s="41"/>
      <c r="L66" s="42"/>
      <c r="M66" s="42">
        <f t="shared" si="8"/>
        <v>16981</v>
      </c>
      <c r="N66" s="43"/>
      <c r="O66" s="44"/>
      <c r="P66" s="134" t="s">
        <v>152</v>
      </c>
      <c r="Q66" s="42">
        <f>SUMPRODUCT(Q38:Q41,M65:M68)</f>
        <v>33873.768100000001</v>
      </c>
      <c r="R66" s="42">
        <f>'BGS PTY25 Cost Alloc'!R66</f>
        <v>2010813.5033831317</v>
      </c>
      <c r="S66" s="5" t="s">
        <v>178</v>
      </c>
      <c r="T66" s="4">
        <f>+T64-T65</f>
        <v>29455.198500000002</v>
      </c>
      <c r="U66" s="40"/>
      <c r="V66" s="143">
        <f>'BGS PTY25 Cost Alloc'!V66</f>
        <v>46204</v>
      </c>
      <c r="W66" s="42">
        <f>'BGS PTY25 Cost Alloc'!W66</f>
        <v>787636</v>
      </c>
      <c r="X66" s="42">
        <f>'BGS PTY25 Cost Alloc'!X66</f>
        <v>16438</v>
      </c>
      <c r="Y66" s="4">
        <f t="shared" si="9"/>
        <v>771198</v>
      </c>
      <c r="Z66" s="42">
        <f>'BGS PTY25 Cost Alloc'!Z66</f>
        <v>1284104</v>
      </c>
      <c r="AA66" s="42">
        <f>'BGS PTY25 Cost Alloc'!AA66</f>
        <v>15697.191000000001</v>
      </c>
      <c r="AB66" s="42">
        <f>'BGS PTY25 Cost Alloc'!AB66</f>
        <v>1217293.0870000001</v>
      </c>
      <c r="AC66" s="42">
        <f>'BGS PTY25 Cost Alloc'!AC66</f>
        <v>575397.571</v>
      </c>
      <c r="AD66" s="42">
        <f>'BGS PTY25 Cost Alloc'!AD66</f>
        <v>635075.83200000005</v>
      </c>
      <c r="AG66" s="42">
        <f>'BGS PTY25 Cost Alloc'!AG66</f>
        <v>15090.156999999999</v>
      </c>
    </row>
    <row r="67" spans="1:34" x14ac:dyDescent="0.2">
      <c r="A67" s="7"/>
      <c r="B67" s="23" t="s">
        <v>8</v>
      </c>
      <c r="C67" s="41"/>
      <c r="D67" s="41"/>
      <c r="E67" s="42">
        <f>'BGS PTY25 Cost Alloc'!E67</f>
        <v>16302</v>
      </c>
      <c r="F67" s="42">
        <f>'BGS PTY25 Cost Alloc'!F67</f>
        <v>1120590</v>
      </c>
      <c r="G67" s="42">
        <f>'BGS PTY25 Cost Alloc'!G67</f>
        <v>552263</v>
      </c>
      <c r="H67" s="42">
        <f>'BGS PTY25 Cost Alloc'!H67</f>
        <v>14133</v>
      </c>
      <c r="I67" s="42">
        <f>'BGS PTY25 Cost Alloc'!I67</f>
        <v>10082</v>
      </c>
      <c r="J67" s="42">
        <f t="shared" si="7"/>
        <v>1713370</v>
      </c>
      <c r="K67" s="41"/>
      <c r="L67" s="41"/>
      <c r="M67" s="42">
        <f t="shared" si="8"/>
        <v>15723</v>
      </c>
      <c r="N67" s="47"/>
      <c r="O67" s="48"/>
      <c r="P67" s="73" t="s">
        <v>195</v>
      </c>
      <c r="Q67" s="4">
        <f>SUM(W65:W68)/1000</f>
        <v>2370.9940000000001</v>
      </c>
      <c r="R67" s="55"/>
      <c r="S67" s="48"/>
      <c r="T67" s="48"/>
      <c r="U67" s="49"/>
      <c r="V67" s="143">
        <f>'BGS PTY25 Cost Alloc'!V67</f>
        <v>46235</v>
      </c>
      <c r="W67" s="42">
        <f>'BGS PTY25 Cost Alloc'!W67</f>
        <v>579312</v>
      </c>
      <c r="X67" s="42">
        <f>'BGS PTY25 Cost Alloc'!X67</f>
        <v>9384</v>
      </c>
      <c r="Y67" s="4">
        <f t="shared" si="9"/>
        <v>569928</v>
      </c>
      <c r="Z67" s="42">
        <f>'BGS PTY25 Cost Alloc'!Z67</f>
        <v>1061853</v>
      </c>
      <c r="AA67" s="42">
        <f>'BGS PTY25 Cost Alloc'!AA67</f>
        <v>14661.407999999999</v>
      </c>
      <c r="AB67" s="42">
        <f>'BGS PTY25 Cost Alloc'!AB67</f>
        <v>1120590.31</v>
      </c>
      <c r="AC67" s="42">
        <f>'BGS PTY25 Cost Alloc'!AC67</f>
        <v>552272.46799999999</v>
      </c>
      <c r="AD67" s="42">
        <f>'BGS PTY25 Cost Alloc'!AD67</f>
        <v>615582.95799999998</v>
      </c>
      <c r="AG67" s="42">
        <f>'BGS PTY25 Cost Alloc'!AG67</f>
        <v>14132.946</v>
      </c>
    </row>
    <row r="68" spans="1:34" x14ac:dyDescent="0.2">
      <c r="A68" s="7"/>
      <c r="B68" s="23" t="s">
        <v>9</v>
      </c>
      <c r="C68" s="41"/>
      <c r="D68" s="41"/>
      <c r="E68" s="42">
        <f>'BGS PTY25 Cost Alloc'!E68</f>
        <v>11776</v>
      </c>
      <c r="F68" s="42">
        <f>'BGS PTY25 Cost Alloc'!F68</f>
        <v>821655</v>
      </c>
      <c r="G68" s="42">
        <f>'BGS PTY25 Cost Alloc'!G68</f>
        <v>455746</v>
      </c>
      <c r="H68" s="42">
        <f>'BGS PTY25 Cost Alloc'!H68</f>
        <v>9532</v>
      </c>
      <c r="I68" s="42">
        <f>'BGS PTY25 Cost Alloc'!I68</f>
        <v>10083</v>
      </c>
      <c r="J68" s="42">
        <f t="shared" si="7"/>
        <v>1308792</v>
      </c>
      <c r="K68" s="41"/>
      <c r="L68" s="41"/>
      <c r="M68" s="42">
        <f t="shared" si="8"/>
        <v>11442</v>
      </c>
      <c r="N68" s="34"/>
      <c r="O68" s="35"/>
      <c r="P68" s="35"/>
      <c r="Q68" s="35" t="s">
        <v>130</v>
      </c>
      <c r="R68" s="35"/>
      <c r="S68" s="35"/>
      <c r="T68" s="35"/>
      <c r="U68" s="36"/>
      <c r="V68" s="143">
        <f>'BGS PTY25 Cost Alloc'!V68</f>
        <v>46266</v>
      </c>
      <c r="W68" s="42">
        <f>'BGS PTY25 Cost Alloc'!W68</f>
        <v>334401</v>
      </c>
      <c r="X68" s="42">
        <f>'BGS PTY25 Cost Alloc'!X68</f>
        <v>13376</v>
      </c>
      <c r="Y68" s="4">
        <f t="shared" si="9"/>
        <v>321025</v>
      </c>
      <c r="Z68" s="42">
        <f>'BGS PTY25 Cost Alloc'!Z68</f>
        <v>837016</v>
      </c>
      <c r="AA68" s="42">
        <f>'BGS PTY25 Cost Alloc'!AA68</f>
        <v>10604.641</v>
      </c>
      <c r="AB68" s="42">
        <f>'BGS PTY25 Cost Alloc'!AB68</f>
        <v>821654.91599999997</v>
      </c>
      <c r="AC68" s="42">
        <f>'BGS PTY25 Cost Alloc'!AC68</f>
        <v>455758.79500000004</v>
      </c>
      <c r="AD68" s="42">
        <f>'BGS PTY25 Cost Alloc'!AD68</f>
        <v>516067.43300000002</v>
      </c>
      <c r="AG68" s="42">
        <f>'BGS PTY25 Cost Alloc'!AG68</f>
        <v>9531.9599999999991</v>
      </c>
    </row>
    <row r="69" spans="1:34" x14ac:dyDescent="0.2">
      <c r="A69" s="7"/>
      <c r="B69" s="23" t="s">
        <v>10</v>
      </c>
      <c r="C69" s="41"/>
      <c r="D69" s="41"/>
      <c r="E69" s="42">
        <f>'BGS PTY25 Cost Alloc'!E69</f>
        <v>8764</v>
      </c>
      <c r="F69" s="42">
        <f>'BGS PTY25 Cost Alloc'!F69</f>
        <v>585754</v>
      </c>
      <c r="G69" s="42">
        <f>'BGS PTY25 Cost Alloc'!G69</f>
        <v>454579</v>
      </c>
      <c r="H69" s="42">
        <f>'BGS PTY25 Cost Alloc'!H69</f>
        <v>13379</v>
      </c>
      <c r="I69" s="42">
        <f>'BGS PTY25 Cost Alloc'!I69</f>
        <v>10084</v>
      </c>
      <c r="J69" s="42">
        <f t="shared" si="7"/>
        <v>1072560</v>
      </c>
      <c r="K69" s="41"/>
      <c r="L69" s="41"/>
      <c r="M69" s="42">
        <f t="shared" si="8"/>
        <v>8204</v>
      </c>
      <c r="N69" s="37"/>
      <c r="O69" s="2"/>
      <c r="P69" s="2"/>
      <c r="Q69" s="2" t="str">
        <f>+Q$13</f>
        <v>RT{1}</v>
      </c>
      <c r="R69" s="2"/>
      <c r="S69" s="2"/>
      <c r="T69" s="2" t="str">
        <f>+T$13</f>
        <v>GST</v>
      </c>
      <c r="U69" s="38"/>
      <c r="V69" s="143">
        <f>'BGS PTY25 Cost Alloc'!V69</f>
        <v>46296</v>
      </c>
      <c r="W69" s="42">
        <f>'BGS PTY25 Cost Alloc'!W69</f>
        <v>559944</v>
      </c>
      <c r="X69" s="42">
        <f>'BGS PTY25 Cost Alloc'!X69</f>
        <v>24727</v>
      </c>
      <c r="Y69" s="4">
        <f t="shared" si="9"/>
        <v>535217</v>
      </c>
      <c r="Z69" s="42">
        <f>'BGS PTY25 Cost Alloc'!Z69</f>
        <v>696371</v>
      </c>
      <c r="AA69" s="42">
        <f>'BGS PTY25 Cost Alloc'!AA69</f>
        <v>8203.8590000000004</v>
      </c>
      <c r="AB69" s="42">
        <f>'BGS PTY25 Cost Alloc'!AB69</f>
        <v>585058.36199999996</v>
      </c>
      <c r="AC69" s="42">
        <f>'BGS PTY25 Cost Alloc'!AC69</f>
        <v>454603.98100000003</v>
      </c>
      <c r="AD69" s="42">
        <f>'BGS PTY25 Cost Alloc'!AD69</f>
        <v>508480.06</v>
      </c>
      <c r="AG69" s="42">
        <f>'BGS PTY25 Cost Alloc'!AG69</f>
        <v>13379.145</v>
      </c>
    </row>
    <row r="70" spans="1:34" x14ac:dyDescent="0.2">
      <c r="A70" s="7"/>
      <c r="B70" s="23" t="s">
        <v>11</v>
      </c>
      <c r="C70" s="41"/>
      <c r="D70" s="41"/>
      <c r="E70" s="42">
        <f>'BGS PTY25 Cost Alloc'!E70</f>
        <v>11948</v>
      </c>
      <c r="F70" s="42">
        <f>'BGS PTY25 Cost Alloc'!F70</f>
        <v>656901</v>
      </c>
      <c r="G70" s="42">
        <f>'BGS PTY25 Cost Alloc'!G70</f>
        <v>442776</v>
      </c>
      <c r="H70" s="42">
        <f>'BGS PTY25 Cost Alloc'!H70</f>
        <v>12650</v>
      </c>
      <c r="I70" s="42">
        <f>'BGS PTY25 Cost Alloc'!I70</f>
        <v>10086</v>
      </c>
      <c r="J70" s="42">
        <f t="shared" si="7"/>
        <v>1134361</v>
      </c>
      <c r="K70" s="41"/>
      <c r="L70" s="41"/>
      <c r="M70" s="42">
        <f t="shared" si="8"/>
        <v>11200</v>
      </c>
      <c r="N70" s="39"/>
      <c r="U70" s="40"/>
      <c r="V70" s="143">
        <f>'BGS PTY25 Cost Alloc'!V70</f>
        <v>46327</v>
      </c>
      <c r="W70" s="42">
        <f>'BGS PTY25 Cost Alloc'!W70</f>
        <v>748343</v>
      </c>
      <c r="X70" s="42">
        <f>'BGS PTY25 Cost Alloc'!X70</f>
        <v>25714</v>
      </c>
      <c r="Y70" s="4">
        <f t="shared" si="9"/>
        <v>722629</v>
      </c>
      <c r="Z70" s="42">
        <f>'BGS PTY25 Cost Alloc'!Z70</f>
        <v>1048855</v>
      </c>
      <c r="AA70" s="42">
        <f>'BGS PTY25 Cost Alloc'!AA70</f>
        <v>11200.157999999999</v>
      </c>
      <c r="AB70" s="42">
        <f>'BGS PTY25 Cost Alloc'!AB70</f>
        <v>655852.34699999995</v>
      </c>
      <c r="AC70" s="42">
        <f>'BGS PTY25 Cost Alloc'!AC70</f>
        <v>442801.51300000004</v>
      </c>
      <c r="AD70" s="42">
        <f>'BGS PTY25 Cost Alloc'!AD70</f>
        <v>494150.41800000001</v>
      </c>
      <c r="AE70">
        <f>'BGS PTY25 Cost Alloc'!AE70</f>
        <v>0</v>
      </c>
      <c r="AG70" s="42">
        <f>'BGS PTY25 Cost Alloc'!AG70</f>
        <v>12650.227000000001</v>
      </c>
      <c r="AH70">
        <f>'BGS PTY25 Cost Alloc'!AH70</f>
        <v>30041280</v>
      </c>
    </row>
    <row r="71" spans="1:34" x14ac:dyDescent="0.2">
      <c r="A71" s="7"/>
      <c r="B71" s="23" t="s">
        <v>12</v>
      </c>
      <c r="C71" s="41"/>
      <c r="D71" s="41"/>
      <c r="E71" s="42">
        <f>'BGS PTY25 Cost Alloc'!E71</f>
        <v>17569</v>
      </c>
      <c r="F71" s="42">
        <f>'BGS PTY25 Cost Alloc'!F71</f>
        <v>834560</v>
      </c>
      <c r="G71" s="42">
        <f>'BGS PTY25 Cost Alloc'!G71</f>
        <v>504665</v>
      </c>
      <c r="H71" s="42">
        <f>'BGS PTY25 Cost Alloc'!H71</f>
        <v>17090</v>
      </c>
      <c r="I71" s="42">
        <f>'BGS PTY25 Cost Alloc'!I71</f>
        <v>10088</v>
      </c>
      <c r="J71" s="42">
        <f t="shared" si="7"/>
        <v>1383972</v>
      </c>
      <c r="K71" s="41"/>
      <c r="L71" s="41"/>
      <c r="M71" s="42">
        <f t="shared" si="8"/>
        <v>16686</v>
      </c>
      <c r="N71" s="43"/>
      <c r="O71" s="44"/>
      <c r="P71" s="97" t="s">
        <v>148</v>
      </c>
      <c r="Q71" s="4">
        <f>SUM(E60:E64,E69:E71)</f>
        <v>115223</v>
      </c>
      <c r="R71" s="4"/>
      <c r="S71" s="97" t="s">
        <v>148</v>
      </c>
      <c r="T71" s="4">
        <f>SUM(H60:H64,H69:H71)</f>
        <v>113111</v>
      </c>
      <c r="U71" s="45"/>
      <c r="V71" s="143">
        <f>'BGS PTY25 Cost Alloc'!V71</f>
        <v>46357</v>
      </c>
      <c r="W71" s="42">
        <f>'BGS PTY25 Cost Alloc'!W71</f>
        <v>883278</v>
      </c>
      <c r="X71" s="42">
        <f>'BGS PTY25 Cost Alloc'!X71</f>
        <v>18583</v>
      </c>
      <c r="Y71" s="4">
        <f t="shared" si="9"/>
        <v>864695</v>
      </c>
      <c r="Z71" s="42">
        <f>'BGS PTY25 Cost Alloc'!Z71</f>
        <v>1583127</v>
      </c>
      <c r="AA71" s="42">
        <f>'BGS PTY25 Cost Alloc'!AA71</f>
        <v>16686.431</v>
      </c>
      <c r="AB71" s="42">
        <f>'BGS PTY25 Cost Alloc'!AB71</f>
        <v>832977.33900000004</v>
      </c>
      <c r="AC71" s="42">
        <f>'BGS PTY25 Cost Alloc'!AC71</f>
        <v>504684.48200000008</v>
      </c>
      <c r="AD71" s="42">
        <f>'BGS PTY25 Cost Alloc'!AD71</f>
        <v>550098.08700000006</v>
      </c>
      <c r="AE71">
        <f>'BGS PTY25 Cost Alloc'!AE71</f>
        <v>0</v>
      </c>
      <c r="AG71" s="42">
        <f>'BGS PTY25 Cost Alloc'!AG71</f>
        <v>17090.401000000002</v>
      </c>
      <c r="AH71">
        <f>'BGS PTY25 Cost Alloc'!AH71</f>
        <v>34979603</v>
      </c>
    </row>
    <row r="72" spans="1:34" x14ac:dyDescent="0.2">
      <c r="A72" s="7"/>
      <c r="B72" s="50" t="s">
        <v>13</v>
      </c>
      <c r="C72" s="4"/>
      <c r="D72" s="4"/>
      <c r="E72" s="4">
        <f>SUM(E60:E71)</f>
        <v>174791</v>
      </c>
      <c r="F72" s="4">
        <f>SUM(F60:F71)</f>
        <v>9648556</v>
      </c>
      <c r="G72" s="4">
        <f>SUM(G60:G71)</f>
        <v>5805619</v>
      </c>
      <c r="H72" s="4">
        <f>SUM(H60:H71)</f>
        <v>167062</v>
      </c>
      <c r="I72" s="4">
        <f>SUM(I60:I71)</f>
        <v>120947</v>
      </c>
      <c r="J72" s="4">
        <f t="shared" si="7"/>
        <v>15916975</v>
      </c>
      <c r="K72" s="4"/>
      <c r="L72" s="4"/>
      <c r="M72" s="4">
        <f>SUM(M60:M71)</f>
        <v>166729</v>
      </c>
      <c r="N72" s="43"/>
      <c r="O72" s="44"/>
      <c r="P72" s="73" t="s">
        <v>146</v>
      </c>
      <c r="Q72" s="4">
        <f>SUMPRODUCT(E15:E19,E60:E64)+SUMPRODUCT(E24:E26,E69:E71)</f>
        <v>54775.6587</v>
      </c>
      <c r="R72">
        <f>Q72/Q71</f>
        <v>0.47538823585568851</v>
      </c>
      <c r="S72" s="73" t="s">
        <v>177</v>
      </c>
      <c r="T72" s="4">
        <f>SUMPRODUCT(H15:H19,H60:H64)+SUMPRODUCT(H24:H26,H69:H71)</f>
        <v>59565.486000000004</v>
      </c>
      <c r="U72" s="40">
        <f>T72/T71</f>
        <v>0.52661090433291191</v>
      </c>
      <c r="W72" s="4">
        <f t="shared" ref="W72:AD72" si="10">SUM(W60:W71)</f>
        <v>8062336</v>
      </c>
      <c r="X72" s="4">
        <f t="shared" si="10"/>
        <v>205070</v>
      </c>
      <c r="Y72" s="4">
        <f t="shared" si="10"/>
        <v>7857266</v>
      </c>
      <c r="Z72" s="4">
        <f t="shared" si="10"/>
        <v>14136455</v>
      </c>
      <c r="AA72" s="4">
        <f t="shared" si="10"/>
        <v>162486.83600000001</v>
      </c>
      <c r="AB72" s="4">
        <f t="shared" si="10"/>
        <v>9638664.1730000004</v>
      </c>
      <c r="AC72" s="4">
        <f t="shared" si="10"/>
        <v>5805824.4359999998</v>
      </c>
      <c r="AD72" s="4">
        <f t="shared" si="10"/>
        <v>6437151.5419999994</v>
      </c>
      <c r="AE72">
        <f>'BGS PTY25 Cost Alloc'!AE72</f>
        <v>0</v>
      </c>
      <c r="AG72" s="4">
        <f>SUM(AG60:AG71)</f>
        <v>167063.535</v>
      </c>
      <c r="AH72">
        <f>'BGS PTY25 Cost Alloc'!AH72</f>
        <v>390793763</v>
      </c>
    </row>
    <row r="73" spans="1:34" x14ac:dyDescent="0.2">
      <c r="A73" s="7"/>
      <c r="B73" s="23"/>
      <c r="J73" s="51"/>
      <c r="N73" s="43"/>
      <c r="O73" s="44"/>
      <c r="P73" s="73" t="s">
        <v>145</v>
      </c>
      <c r="Q73" s="4">
        <f>+Q71-Q72</f>
        <v>60447.3413</v>
      </c>
      <c r="S73" s="73" t="s">
        <v>178</v>
      </c>
      <c r="T73" s="4">
        <f>+T71-T72</f>
        <v>53545.513999999996</v>
      </c>
      <c r="U73" s="40"/>
    </row>
    <row r="74" spans="1:34" ht="15.75" x14ac:dyDescent="0.25">
      <c r="A74" s="7"/>
      <c r="N74" s="39"/>
      <c r="U74" s="40"/>
      <c r="V74" s="5" t="s">
        <v>181</v>
      </c>
      <c r="W74" t="s">
        <v>185</v>
      </c>
      <c r="X74" t="s">
        <v>184</v>
      </c>
      <c r="Y74" t="s">
        <v>182</v>
      </c>
      <c r="Z74" t="s">
        <v>183</v>
      </c>
      <c r="AB74" t="s">
        <v>186</v>
      </c>
      <c r="AC74" t="s">
        <v>211</v>
      </c>
      <c r="AE74" s="13"/>
    </row>
    <row r="75" spans="1:34" x14ac:dyDescent="0.2">
      <c r="A75" s="6" t="s">
        <v>37</v>
      </c>
      <c r="B75" s="1" t="s">
        <v>19</v>
      </c>
      <c r="G75" s="52" t="s">
        <v>32</v>
      </c>
      <c r="H75" s="1" t="s">
        <v>175</v>
      </c>
      <c r="N75" s="43"/>
      <c r="O75" s="44"/>
      <c r="P75" s="93" t="s">
        <v>149</v>
      </c>
      <c r="Q75" s="4">
        <f>+SUM(E65:E68)</f>
        <v>59568</v>
      </c>
      <c r="R75" s="2"/>
      <c r="S75" s="93" t="s">
        <v>149</v>
      </c>
      <c r="T75" s="4">
        <f>+SUM(H65:H68)</f>
        <v>53951</v>
      </c>
      <c r="U75" s="38"/>
      <c r="V75" s="4">
        <f t="shared" ref="V75:V86" si="11">W60-W75</f>
        <v>234164</v>
      </c>
      <c r="W75" s="4">
        <f t="shared" ref="W75:W86" si="12">SUM(X75:Z75)</f>
        <v>382704</v>
      </c>
      <c r="X75" s="42">
        <f>'BGS PTY25 Cost Alloc'!X75</f>
        <v>9880</v>
      </c>
      <c r="Y75" s="42">
        <f>'BGS PTY25 Cost Alloc'!Y75</f>
        <v>368419</v>
      </c>
      <c r="Z75" s="42">
        <f>'BGS PTY25 Cost Alloc'!Z75</f>
        <v>4405</v>
      </c>
      <c r="AA75" s="4"/>
      <c r="AB75">
        <f t="shared" ref="AB75:AB86" si="13">(V75*$AA$94+W75*$AA$95)/1000</f>
        <v>136.73878205128204</v>
      </c>
      <c r="AC75">
        <f t="shared" ref="AC75:AC86" si="14">(W60/1000)-AB75</f>
        <v>480.12921794871801</v>
      </c>
    </row>
    <row r="76" spans="1:34" x14ac:dyDescent="0.2">
      <c r="A76" s="7"/>
      <c r="B76" s="15" t="s">
        <v>21</v>
      </c>
      <c r="G76" s="18"/>
      <c r="H76" s="16" t="s">
        <v>174</v>
      </c>
      <c r="N76" s="43"/>
      <c r="O76" s="44"/>
      <c r="P76" s="73" t="s">
        <v>146</v>
      </c>
      <c r="Q76" s="4">
        <f>+SUMPRODUCT(E20:E23,E65:E68)</f>
        <v>30539.264900000002</v>
      </c>
      <c r="R76">
        <f>Q76/Q75</f>
        <v>0.51267903740263232</v>
      </c>
      <c r="S76" s="5" t="s">
        <v>177</v>
      </c>
      <c r="T76" s="4">
        <f>+SUMPRODUCT(H20:H23,H65:H68)</f>
        <v>30000.484699999997</v>
      </c>
      <c r="U76" s="40">
        <f>T76/T75</f>
        <v>0.55606911271338799</v>
      </c>
      <c r="V76" s="4">
        <f t="shared" si="11"/>
        <v>194512</v>
      </c>
      <c r="W76" s="4">
        <f t="shared" si="12"/>
        <v>326204</v>
      </c>
      <c r="X76" s="42">
        <f>'BGS PTY25 Cost Alloc'!X76</f>
        <v>8930</v>
      </c>
      <c r="Y76" s="42">
        <f>'BGS PTY25 Cost Alloc'!Y76</f>
        <v>314279</v>
      </c>
      <c r="Z76" s="42">
        <f>'BGS PTY25 Cost Alloc'!Z76</f>
        <v>2995</v>
      </c>
      <c r="AA76" s="4"/>
      <c r="AB76">
        <f t="shared" si="13"/>
        <v>115.94659111721612</v>
      </c>
      <c r="AC76">
        <f t="shared" si="14"/>
        <v>404.76940888278386</v>
      </c>
    </row>
    <row r="77" spans="1:34" x14ac:dyDescent="0.2">
      <c r="A77" s="7"/>
      <c r="C77" s="2" t="s">
        <v>221</v>
      </c>
      <c r="D77" s="2" t="s">
        <v>218</v>
      </c>
      <c r="E77" s="2" t="s">
        <v>221</v>
      </c>
      <c r="F77" s="2" t="s">
        <v>218</v>
      </c>
      <c r="G77" s="2"/>
      <c r="N77" s="53"/>
      <c r="O77" s="54"/>
      <c r="P77" s="98" t="s">
        <v>145</v>
      </c>
      <c r="Q77" s="55">
        <f>Q75-Q76</f>
        <v>29028.735099999998</v>
      </c>
      <c r="R77" s="48"/>
      <c r="S77" s="110" t="s">
        <v>178</v>
      </c>
      <c r="T77" s="55">
        <f>T75-T76</f>
        <v>23950.515300000003</v>
      </c>
      <c r="U77" s="49"/>
      <c r="V77" s="4">
        <f t="shared" si="11"/>
        <v>204852</v>
      </c>
      <c r="W77" s="4">
        <f t="shared" si="12"/>
        <v>320218</v>
      </c>
      <c r="X77" s="42">
        <f>'BGS PTY25 Cost Alloc'!X77</f>
        <v>8898</v>
      </c>
      <c r="Y77" s="42">
        <f>'BGS PTY25 Cost Alloc'!Y77</f>
        <v>308346</v>
      </c>
      <c r="Z77" s="42">
        <f>'BGS PTY25 Cost Alloc'!Z77</f>
        <v>2974</v>
      </c>
      <c r="AA77" s="4"/>
      <c r="AB77">
        <f t="shared" si="13"/>
        <v>115.47479510073259</v>
      </c>
      <c r="AC77">
        <f t="shared" si="14"/>
        <v>409.59520489926746</v>
      </c>
      <c r="AD77" s="4">
        <f>SUM(AB65:AB68)</f>
        <v>4035705.932</v>
      </c>
    </row>
    <row r="78" spans="1:34" x14ac:dyDescent="0.2">
      <c r="A78" s="7"/>
      <c r="C78" s="2" t="s">
        <v>14</v>
      </c>
      <c r="D78" s="2" t="s">
        <v>14</v>
      </c>
      <c r="E78" s="2" t="s">
        <v>15</v>
      </c>
      <c r="F78" s="2" t="s">
        <v>15</v>
      </c>
      <c r="H78" s="2" t="s">
        <v>14</v>
      </c>
      <c r="I78" s="2" t="s">
        <v>15</v>
      </c>
      <c r="N78" s="39"/>
      <c r="Q78" t="s">
        <v>58</v>
      </c>
      <c r="U78" s="40"/>
      <c r="V78" s="4">
        <f t="shared" si="11"/>
        <v>318338</v>
      </c>
      <c r="W78" s="4">
        <f t="shared" si="12"/>
        <v>539629</v>
      </c>
      <c r="X78" s="42">
        <f>'BGS PTY25 Cost Alloc'!X78</f>
        <v>17112</v>
      </c>
      <c r="Y78" s="42">
        <f>'BGS PTY25 Cost Alloc'!Y78</f>
        <v>516028</v>
      </c>
      <c r="Z78" s="42">
        <f>'BGS PTY25 Cost Alloc'!Z78</f>
        <v>6489</v>
      </c>
      <c r="AA78" s="4"/>
      <c r="AB78">
        <f t="shared" si="13"/>
        <v>191.39761733058606</v>
      </c>
      <c r="AC78">
        <f t="shared" si="14"/>
        <v>666.56938266941393</v>
      </c>
    </row>
    <row r="79" spans="1:34" x14ac:dyDescent="0.2">
      <c r="A79" s="7"/>
      <c r="B79" s="23" t="s">
        <v>1</v>
      </c>
      <c r="C79" s="57">
        <v>94.6</v>
      </c>
      <c r="D79" s="422">
        <f>ROUND(C79*$H$307,3)</f>
        <v>101.178</v>
      </c>
      <c r="E79" s="57">
        <v>75.81</v>
      </c>
      <c r="F79" s="422">
        <f>ROUND(E79*$H$307,3)</f>
        <v>81.081000000000003</v>
      </c>
      <c r="H79" s="28">
        <v>0.81828688546387174</v>
      </c>
      <c r="I79" s="28">
        <v>0.87534900715452102</v>
      </c>
      <c r="L79" s="42"/>
      <c r="N79" s="37"/>
      <c r="O79" s="2"/>
      <c r="P79" s="2"/>
      <c r="Q79" s="2" t="str">
        <f>+Q$13</f>
        <v>RT{1}</v>
      </c>
      <c r="R79" s="2"/>
      <c r="S79" s="2"/>
      <c r="T79" s="2" t="str">
        <f>+T$13</f>
        <v>GST</v>
      </c>
      <c r="U79" s="38"/>
      <c r="V79" s="4">
        <f t="shared" si="11"/>
        <v>372180</v>
      </c>
      <c r="W79" s="4">
        <f t="shared" si="12"/>
        <v>606976</v>
      </c>
      <c r="X79" s="42">
        <f>'BGS PTY25 Cost Alloc'!X79</f>
        <v>16097</v>
      </c>
      <c r="Y79" s="42">
        <f>'BGS PTY25 Cost Alloc'!Y79</f>
        <v>583222</v>
      </c>
      <c r="Z79" s="42">
        <f>'BGS PTY25 Cost Alloc'!Z79</f>
        <v>7657</v>
      </c>
      <c r="AA79" s="4"/>
      <c r="AB79">
        <f t="shared" si="13"/>
        <v>216.96457875457875</v>
      </c>
      <c r="AC79">
        <f t="shared" si="14"/>
        <v>762.19142124542122</v>
      </c>
    </row>
    <row r="80" spans="1:34" x14ac:dyDescent="0.2">
      <c r="A80" s="7"/>
      <c r="B80" s="23" t="s">
        <v>2</v>
      </c>
      <c r="C80" s="57">
        <v>82</v>
      </c>
      <c r="D80" s="422">
        <f>ROUND(C80*$H$307,3)</f>
        <v>87.701999999999998</v>
      </c>
      <c r="E80" s="57">
        <v>65.712000000000003</v>
      </c>
      <c r="F80" s="422">
        <f>ROUND(E80*$H$307,3)</f>
        <v>70.281000000000006</v>
      </c>
      <c r="H80" s="151">
        <f>H79</f>
        <v>0.81828688546387174</v>
      </c>
      <c r="I80" s="151">
        <f>I79</f>
        <v>0.87534900715452102</v>
      </c>
      <c r="L80" s="116"/>
      <c r="N80" s="39"/>
      <c r="U80" s="40"/>
      <c r="V80" s="4">
        <f t="shared" si="11"/>
        <v>266875</v>
      </c>
      <c r="W80" s="4">
        <f t="shared" si="12"/>
        <v>402770</v>
      </c>
      <c r="X80" s="42">
        <f>'BGS PTY25 Cost Alloc'!X80</f>
        <v>17004</v>
      </c>
      <c r="Y80" s="42">
        <f>'BGS PTY25 Cost Alloc'!Y80</f>
        <v>382306</v>
      </c>
      <c r="Z80" s="42">
        <f>'BGS PTY25 Cost Alloc'!Z80</f>
        <v>3460</v>
      </c>
      <c r="AA80" s="4"/>
      <c r="AB80">
        <f t="shared" si="13"/>
        <v>146.34082532051281</v>
      </c>
      <c r="AC80">
        <f t="shared" si="14"/>
        <v>523.30417467948723</v>
      </c>
    </row>
    <row r="81" spans="1:29" x14ac:dyDescent="0.2">
      <c r="A81" s="7"/>
      <c r="B81" s="23" t="s">
        <v>3</v>
      </c>
      <c r="C81" s="57">
        <v>57.4</v>
      </c>
      <c r="D81" s="422">
        <f>ROUND(C81*$H$307,3)</f>
        <v>61.390999999999998</v>
      </c>
      <c r="E81" s="57">
        <v>45.999000000000002</v>
      </c>
      <c r="F81" s="422">
        <f>ROUND(E81*$H$307,3)</f>
        <v>49.198</v>
      </c>
      <c r="H81" s="151">
        <f>H79</f>
        <v>0.81828688546387174</v>
      </c>
      <c r="I81" s="151">
        <f>I79</f>
        <v>0.87534900715452102</v>
      </c>
      <c r="L81" s="116"/>
      <c r="N81" s="43"/>
      <c r="O81" s="44"/>
      <c r="P81" s="97" t="s">
        <v>26</v>
      </c>
      <c r="Q81" s="4"/>
      <c r="R81" s="4"/>
      <c r="S81" s="97" t="s">
        <v>26</v>
      </c>
      <c r="T81" s="4"/>
      <c r="U81" s="45"/>
      <c r="V81" s="4">
        <f t="shared" si="11"/>
        <v>304343</v>
      </c>
      <c r="W81" s="4">
        <f t="shared" si="12"/>
        <v>483293</v>
      </c>
      <c r="X81" s="42">
        <f>'BGS PTY25 Cost Alloc'!X81</f>
        <v>13008</v>
      </c>
      <c r="Y81" s="42">
        <f>'BGS PTY25 Cost Alloc'!Y81</f>
        <v>466393</v>
      </c>
      <c r="Z81" s="42">
        <f>'BGS PTY25 Cost Alloc'!Z81</f>
        <v>3892</v>
      </c>
      <c r="AA81" s="4"/>
      <c r="AB81">
        <f t="shared" si="13"/>
        <v>173.70648179945056</v>
      </c>
      <c r="AC81">
        <f t="shared" si="14"/>
        <v>613.92951820054941</v>
      </c>
    </row>
    <row r="82" spans="1:29" x14ac:dyDescent="0.2">
      <c r="A82" s="7"/>
      <c r="B82" s="23" t="s">
        <v>4</v>
      </c>
      <c r="C82" s="57">
        <v>55.9</v>
      </c>
      <c r="D82" s="422">
        <f>ROUND(C82*$H$307,3)</f>
        <v>59.786999999999999</v>
      </c>
      <c r="E82" s="57">
        <v>44.796999999999997</v>
      </c>
      <c r="F82" s="422">
        <f>ROUND(E82*$H$307,3)</f>
        <v>47.911999999999999</v>
      </c>
      <c r="H82" s="151">
        <f>H79</f>
        <v>0.81828688546387174</v>
      </c>
      <c r="I82" s="151">
        <f>I79</f>
        <v>0.87534900715452102</v>
      </c>
      <c r="L82" s="116"/>
      <c r="N82" s="43"/>
      <c r="O82" s="44"/>
      <c r="P82" s="73" t="s">
        <v>147</v>
      </c>
      <c r="Q82" s="4">
        <f>Q72-Q61</f>
        <v>16452.181700000001</v>
      </c>
      <c r="S82" s="73" t="s">
        <v>147</v>
      </c>
      <c r="T82" s="4">
        <f>T72-T61</f>
        <v>10837.792800000003</v>
      </c>
      <c r="U82" s="40"/>
      <c r="V82" s="4">
        <f t="shared" si="11"/>
        <v>221383</v>
      </c>
      <c r="W82" s="4">
        <f t="shared" si="12"/>
        <v>357929</v>
      </c>
      <c r="X82" s="42">
        <f>'BGS PTY25 Cost Alloc'!X82</f>
        <v>8077</v>
      </c>
      <c r="Y82" s="42">
        <f>'BGS PTY25 Cost Alloc'!Y82</f>
        <v>345534</v>
      </c>
      <c r="Z82" s="42">
        <f>'BGS PTY25 Cost Alloc'!Z82</f>
        <v>4318</v>
      </c>
      <c r="AA82" s="4"/>
      <c r="AB82">
        <f t="shared" si="13"/>
        <v>128.16985863095238</v>
      </c>
      <c r="AC82">
        <f t="shared" si="14"/>
        <v>451.14214136904764</v>
      </c>
    </row>
    <row r="83" spans="1:29" x14ac:dyDescent="0.2">
      <c r="A83" s="7"/>
      <c r="B83" s="23" t="s">
        <v>5</v>
      </c>
      <c r="C83" s="57">
        <v>56.95</v>
      </c>
      <c r="D83" s="422">
        <f>ROUND(C83*$H$307,3)</f>
        <v>60.91</v>
      </c>
      <c r="E83" s="57">
        <v>45.637999999999998</v>
      </c>
      <c r="F83" s="422">
        <f>ROUND(E83*$H$307,3)</f>
        <v>48.811</v>
      </c>
      <c r="H83" s="151">
        <f>H79</f>
        <v>0.81828688546387174</v>
      </c>
      <c r="I83" s="151">
        <f>I79</f>
        <v>0.87534900715452102</v>
      </c>
      <c r="L83" s="116"/>
      <c r="N83" s="43"/>
      <c r="O83" s="44"/>
      <c r="P83" s="73" t="s">
        <v>150</v>
      </c>
      <c r="Q83" s="117">
        <f>Q82*(E117-E118)</f>
        <v>158985.47107207184</v>
      </c>
      <c r="S83" s="73" t="s">
        <v>150</v>
      </c>
      <c r="T83" s="117">
        <f>T82*(H117-H118)</f>
        <v>97151.043941804921</v>
      </c>
      <c r="U83" s="40"/>
      <c r="V83" s="4">
        <f t="shared" si="11"/>
        <v>138150</v>
      </c>
      <c r="W83" s="4">
        <f t="shared" si="12"/>
        <v>196251</v>
      </c>
      <c r="X83" s="42">
        <f>'BGS PTY25 Cost Alloc'!X83</f>
        <v>10135</v>
      </c>
      <c r="Y83" s="42">
        <f>'BGS PTY25 Cost Alloc'!Y83</f>
        <v>184267</v>
      </c>
      <c r="Z83" s="42">
        <f>'BGS PTY25 Cost Alloc'!Z83</f>
        <v>1849</v>
      </c>
      <c r="AA83" s="4"/>
      <c r="AB83">
        <f t="shared" si="13"/>
        <v>72.271031936813174</v>
      </c>
      <c r="AC83">
        <f t="shared" si="14"/>
        <v>262.12996806318682</v>
      </c>
    </row>
    <row r="84" spans="1:29" x14ac:dyDescent="0.2">
      <c r="A84" s="7"/>
      <c r="B84" s="154" t="s">
        <v>6</v>
      </c>
      <c r="C84" s="322">
        <v>62.65</v>
      </c>
      <c r="D84" s="423">
        <f>ROUND(C84*$H$306,3)</f>
        <v>82.965999999999994</v>
      </c>
      <c r="E84" s="322">
        <v>35.216000000000001</v>
      </c>
      <c r="F84" s="424">
        <f>ROUND(E84*$H$306,3)</f>
        <v>46.634999999999998</v>
      </c>
      <c r="H84" s="107">
        <v>0.80076369224438027</v>
      </c>
      <c r="I84" s="108">
        <v>0.84914578127495421</v>
      </c>
      <c r="L84" s="116"/>
      <c r="N84" s="39"/>
      <c r="Q84" s="3"/>
      <c r="T84" s="3"/>
      <c r="U84" s="40"/>
      <c r="V84" s="4">
        <f t="shared" si="11"/>
        <v>219196</v>
      </c>
      <c r="W84" s="4">
        <f t="shared" si="12"/>
        <v>340748</v>
      </c>
      <c r="X84" s="42">
        <f>'BGS PTY25 Cost Alloc'!X84</f>
        <v>19750</v>
      </c>
      <c r="Y84" s="42">
        <f>'BGS PTY25 Cost Alloc'!Y84</f>
        <v>317416</v>
      </c>
      <c r="Z84" s="42">
        <f>'BGS PTY25 Cost Alloc'!Z84</f>
        <v>3582</v>
      </c>
      <c r="AA84" s="4"/>
      <c r="AB84">
        <f t="shared" si="13"/>
        <v>123.02227793040292</v>
      </c>
      <c r="AC84">
        <f t="shared" si="14"/>
        <v>436.92172206959702</v>
      </c>
    </row>
    <row r="85" spans="1:29" x14ac:dyDescent="0.2">
      <c r="A85" s="7"/>
      <c r="B85" s="158" t="s">
        <v>7</v>
      </c>
      <c r="C85" s="57">
        <v>90.75</v>
      </c>
      <c r="D85" s="422">
        <f>ROUND(C85*$H$306,3)</f>
        <v>120.178</v>
      </c>
      <c r="E85" s="57">
        <v>51.011000000000003</v>
      </c>
      <c r="F85" s="425">
        <f>ROUND(E85*$H$306,3)</f>
        <v>67.552000000000007</v>
      </c>
      <c r="H85" s="149">
        <f t="shared" ref="H85:I87" si="15">H84</f>
        <v>0.80076369224438027</v>
      </c>
      <c r="I85" s="214">
        <f t="shared" si="15"/>
        <v>0.84914578127495421</v>
      </c>
      <c r="L85" s="116"/>
      <c r="N85" s="43"/>
      <c r="O85" s="44"/>
      <c r="P85" s="93" t="s">
        <v>25</v>
      </c>
      <c r="Q85" s="3"/>
      <c r="R85" s="2"/>
      <c r="S85" s="93" t="s">
        <v>25</v>
      </c>
      <c r="T85" s="3"/>
      <c r="U85" s="38"/>
      <c r="V85" s="4">
        <f t="shared" si="11"/>
        <v>306097</v>
      </c>
      <c r="W85" s="4">
        <f t="shared" si="12"/>
        <v>442246</v>
      </c>
      <c r="X85" s="42">
        <f>'BGS PTY25 Cost Alloc'!X85</f>
        <v>21870</v>
      </c>
      <c r="Y85" s="42">
        <f>'BGS PTY25 Cost Alloc'!Y85</f>
        <v>415033</v>
      </c>
      <c r="Z85" s="42">
        <f>'BGS PTY25 Cost Alloc'!Z85</f>
        <v>5343</v>
      </c>
      <c r="AA85" s="4"/>
      <c r="AB85">
        <f t="shared" si="13"/>
        <v>162.23926167582417</v>
      </c>
      <c r="AC85">
        <f t="shared" si="14"/>
        <v>586.10373832417577</v>
      </c>
    </row>
    <row r="86" spans="1:29" x14ac:dyDescent="0.2">
      <c r="A86" s="7"/>
      <c r="B86" s="158" t="s">
        <v>8</v>
      </c>
      <c r="C86" s="57">
        <v>76.400000000000006</v>
      </c>
      <c r="D86" s="422">
        <f>ROUND(C86*$H$306,3)</f>
        <v>101.17400000000001</v>
      </c>
      <c r="E86" s="57">
        <v>42.945</v>
      </c>
      <c r="F86" s="425">
        <f>ROUND(E86*$H$306,3)</f>
        <v>56.871000000000002</v>
      </c>
      <c r="H86" s="149">
        <f t="shared" si="15"/>
        <v>0.80076369224438027</v>
      </c>
      <c r="I86" s="214">
        <f t="shared" si="15"/>
        <v>0.84914578127495421</v>
      </c>
      <c r="L86" s="116"/>
      <c r="N86" s="43"/>
      <c r="O86" s="44"/>
      <c r="P86" s="73" t="s">
        <v>147</v>
      </c>
      <c r="Q86" s="4">
        <f>Q76-Q65</f>
        <v>7216.0330000000031</v>
      </c>
      <c r="S86" s="73" t="s">
        <v>147</v>
      </c>
      <c r="T86" s="4">
        <f>T76-T65</f>
        <v>5504.6831999999995</v>
      </c>
      <c r="U86" s="40"/>
      <c r="V86" s="4">
        <f t="shared" si="11"/>
        <v>357055</v>
      </c>
      <c r="W86" s="4">
        <f t="shared" si="12"/>
        <v>526223</v>
      </c>
      <c r="X86" s="42">
        <f>'BGS PTY25 Cost Alloc'!X86</f>
        <v>15456</v>
      </c>
      <c r="Y86" s="42">
        <f>'BGS PTY25 Cost Alloc'!Y86</f>
        <v>506115</v>
      </c>
      <c r="Z86" s="42">
        <f>'BGS PTY25 Cost Alloc'!Z86</f>
        <v>4652</v>
      </c>
      <c r="AA86" s="4"/>
      <c r="AB86">
        <f t="shared" si="13"/>
        <v>192.19337854853481</v>
      </c>
      <c r="AC86">
        <f t="shared" si="14"/>
        <v>691.08462145146518</v>
      </c>
    </row>
    <row r="87" spans="1:29" x14ac:dyDescent="0.2">
      <c r="A87" s="7"/>
      <c r="B87" s="160" t="s">
        <v>9</v>
      </c>
      <c r="C87" s="323">
        <v>59.75</v>
      </c>
      <c r="D87" s="426">
        <f>ROUND(C87*$H$306,3)</f>
        <v>79.125</v>
      </c>
      <c r="E87" s="323">
        <v>33.585999999999999</v>
      </c>
      <c r="F87" s="427">
        <f>ROUND(E87*$H$306,3)</f>
        <v>44.476999999999997</v>
      </c>
      <c r="H87" s="150">
        <f t="shared" si="15"/>
        <v>0.80076369224438027</v>
      </c>
      <c r="I87" s="215">
        <f t="shared" si="15"/>
        <v>0.84914578127495421</v>
      </c>
      <c r="L87" s="116"/>
      <c r="N87" s="53"/>
      <c r="O87" s="54"/>
      <c r="P87" s="98" t="s">
        <v>150</v>
      </c>
      <c r="Q87" s="118">
        <f>Q86*(E113-E114)</f>
        <v>259684.19694191421</v>
      </c>
      <c r="R87" s="48"/>
      <c r="S87" s="98" t="s">
        <v>150</v>
      </c>
      <c r="T87" s="118">
        <f>T86*(H113-H114)</f>
        <v>194857.97465737112</v>
      </c>
      <c r="U87" s="49"/>
      <c r="AA87" s="4"/>
    </row>
    <row r="88" spans="1:29" x14ac:dyDescent="0.2">
      <c r="A88" s="7"/>
      <c r="B88" s="23" t="s">
        <v>10</v>
      </c>
      <c r="C88" s="57">
        <v>57.95</v>
      </c>
      <c r="D88" s="422">
        <f>ROUND(C88*$H$307,3)</f>
        <v>61.98</v>
      </c>
      <c r="E88" s="57">
        <v>46.439</v>
      </c>
      <c r="F88" s="422">
        <f>ROUND(E88*$H$307,3)</f>
        <v>49.667999999999999</v>
      </c>
      <c r="H88" s="151">
        <f>H79</f>
        <v>0.81828688546387174</v>
      </c>
      <c r="I88" s="151">
        <f>I79</f>
        <v>0.87534900715452102</v>
      </c>
      <c r="L88" s="116"/>
    </row>
    <row r="89" spans="1:29" x14ac:dyDescent="0.2">
      <c r="A89" s="7"/>
      <c r="B89" s="23" t="s">
        <v>11</v>
      </c>
      <c r="C89" s="57">
        <v>58.95</v>
      </c>
      <c r="D89" s="422">
        <f>ROUND(C89*$H$307,3)</f>
        <v>63.048999999999999</v>
      </c>
      <c r="E89" s="57">
        <v>47.241</v>
      </c>
      <c r="F89" s="422">
        <f>ROUND(E89*$H$307,3)</f>
        <v>50.526000000000003</v>
      </c>
      <c r="H89" s="151">
        <f>H79</f>
        <v>0.81828688546387174</v>
      </c>
      <c r="I89" s="151">
        <f>I79</f>
        <v>0.87534900715452102</v>
      </c>
      <c r="L89" s="116"/>
    </row>
    <row r="90" spans="1:29" x14ac:dyDescent="0.2">
      <c r="A90" s="7"/>
      <c r="B90" s="23" t="s">
        <v>12</v>
      </c>
      <c r="C90" s="57">
        <v>69.349999999999994</v>
      </c>
      <c r="D90" s="422">
        <f>ROUND(C90*$H$307,3)</f>
        <v>74.171999999999997</v>
      </c>
      <c r="E90" s="57">
        <v>55.575000000000003</v>
      </c>
      <c r="F90" s="422">
        <f>ROUND(E90*$H$307,3)</f>
        <v>59.439</v>
      </c>
      <c r="G90" s="28"/>
      <c r="H90" s="151">
        <f>H79</f>
        <v>0.81828688546387174</v>
      </c>
      <c r="I90" s="151">
        <f>I79</f>
        <v>0.87534900715452102</v>
      </c>
      <c r="L90" s="116"/>
    </row>
    <row r="91" spans="1:29" x14ac:dyDescent="0.2">
      <c r="A91" s="7"/>
      <c r="B91" s="23"/>
      <c r="C91" s="57"/>
      <c r="D91" s="57"/>
      <c r="G91" s="28"/>
      <c r="K91" s="28"/>
      <c r="X91" t="s">
        <v>210</v>
      </c>
    </row>
    <row r="92" spans="1:29" x14ac:dyDescent="0.2">
      <c r="A92" s="6" t="s">
        <v>33</v>
      </c>
      <c r="B92" s="32" t="s">
        <v>22</v>
      </c>
      <c r="C92" s="2"/>
      <c r="D92" s="2"/>
      <c r="E92" s="2" t="str">
        <f>+E$13</f>
        <v>RT{1}</v>
      </c>
      <c r="F92" s="2" t="str">
        <f>+F$13</f>
        <v>RS{2}</v>
      </c>
      <c r="G92" s="2" t="str">
        <f>+G$13</f>
        <v>GS{3}</v>
      </c>
      <c r="H92" s="2" t="str">
        <f>+H$58</f>
        <v>GST {4}</v>
      </c>
      <c r="I92" s="2" t="str">
        <f>+I$13</f>
        <v>OL/SL</v>
      </c>
      <c r="J92" s="2"/>
      <c r="K92" s="2"/>
      <c r="L92" s="2"/>
      <c r="M92" s="2"/>
      <c r="X92" t="s">
        <v>205</v>
      </c>
      <c r="Y92" s="5" t="s">
        <v>13</v>
      </c>
      <c r="Z92" s="5" t="s">
        <v>13</v>
      </c>
      <c r="AA92" s="5" t="s">
        <v>207</v>
      </c>
    </row>
    <row r="93" spans="1:29" x14ac:dyDescent="0.2">
      <c r="A93" s="7"/>
      <c r="C93" s="5"/>
      <c r="D93" s="5"/>
      <c r="E93" s="5"/>
      <c r="F93" s="5"/>
      <c r="X93" s="10" t="s">
        <v>206</v>
      </c>
      <c r="Y93" s="8" t="s">
        <v>207</v>
      </c>
      <c r="Z93" s="8" t="s">
        <v>208</v>
      </c>
      <c r="AA93" s="8" t="s">
        <v>209</v>
      </c>
    </row>
    <row r="94" spans="1:29" x14ac:dyDescent="0.2">
      <c r="A94" s="7"/>
      <c r="B94" s="23" t="s">
        <v>23</v>
      </c>
      <c r="C94" s="58"/>
      <c r="D94" s="58"/>
      <c r="E94" s="131">
        <f>'BGS PTY25 Cost Alloc'!E94</f>
        <v>0.105545</v>
      </c>
      <c r="F94" s="131">
        <f>'BGS PTY25 Cost Alloc'!F94</f>
        <v>0.105545</v>
      </c>
      <c r="G94" s="131">
        <f>'BGS PTY25 Cost Alloc'!G94</f>
        <v>0.105545</v>
      </c>
      <c r="H94" s="131">
        <f>'BGS PTY25 Cost Alloc'!H94</f>
        <v>0.105545</v>
      </c>
      <c r="I94" s="131">
        <f>'BGS PTY25 Cost Alloc'!I94</f>
        <v>0.105545</v>
      </c>
      <c r="J94" s="58"/>
      <c r="K94" s="58"/>
      <c r="L94" s="58"/>
      <c r="M94" s="58"/>
      <c r="W94" t="s">
        <v>181</v>
      </c>
      <c r="X94">
        <v>4</v>
      </c>
      <c r="Y94">
        <f>X94*365*5/7</f>
        <v>1042.8571428571429</v>
      </c>
      <c r="Z94">
        <f>365*24</f>
        <v>8760</v>
      </c>
      <c r="AA94">
        <f>Y94/Z94</f>
        <v>0.11904761904761905</v>
      </c>
    </row>
    <row r="95" spans="1:29" x14ac:dyDescent="0.2">
      <c r="A95" s="7"/>
      <c r="B95" t="s">
        <v>20</v>
      </c>
      <c r="C95" s="59"/>
      <c r="D95" s="59"/>
      <c r="E95" s="59">
        <f>1/(1-E94)</f>
        <v>1.1179992285805322</v>
      </c>
      <c r="F95" s="59">
        <f>1/(1-F94)</f>
        <v>1.1179992285805322</v>
      </c>
      <c r="G95" s="59">
        <f>1/(1-G94)</f>
        <v>1.1179992285805322</v>
      </c>
      <c r="H95" s="59">
        <f>1/(1-H94)</f>
        <v>1.1179992285805322</v>
      </c>
      <c r="I95" s="59">
        <f>1/(1-I94)</f>
        <v>1.1179992285805322</v>
      </c>
      <c r="J95" s="59"/>
      <c r="K95" s="59"/>
      <c r="L95" s="59"/>
      <c r="M95" s="59"/>
      <c r="W95" t="s">
        <v>204</v>
      </c>
      <c r="X95">
        <f>(9*23+10*29)/52</f>
        <v>9.5576923076923084</v>
      </c>
      <c r="Y95">
        <f>X95*365*5/7</f>
        <v>2491.8269230769229</v>
      </c>
      <c r="Z95">
        <f>365*24</f>
        <v>8760</v>
      </c>
      <c r="AA95">
        <f>Y95/Z95</f>
        <v>0.28445512820512819</v>
      </c>
    </row>
    <row r="96" spans="1:29" x14ac:dyDescent="0.2">
      <c r="A96" s="7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</row>
    <row r="97" spans="1:29" x14ac:dyDescent="0.2">
      <c r="A97" s="7"/>
      <c r="B97" t="s">
        <v>263</v>
      </c>
      <c r="C97" s="59"/>
      <c r="D97" s="59"/>
      <c r="E97" s="210">
        <f>ROUND(1-1/E98,6)</f>
        <v>9.5818E-2</v>
      </c>
      <c r="F97" s="210">
        <f>ROUND(1-1/F98,6)</f>
        <v>9.5818E-2</v>
      </c>
      <c r="G97" s="210">
        <f>ROUND(1-1/G98,6)</f>
        <v>9.5818E-2</v>
      </c>
      <c r="H97" s="210">
        <f>ROUND(1-1/H98,6)</f>
        <v>9.5818E-2</v>
      </c>
      <c r="I97" s="210">
        <f>ROUND(1-1/I98,6)</f>
        <v>9.5818E-2</v>
      </c>
      <c r="J97" s="59"/>
      <c r="K97" s="59"/>
      <c r="L97" s="59"/>
      <c r="M97" s="59"/>
    </row>
    <row r="98" spans="1:29" ht="12" customHeight="1" x14ac:dyDescent="0.2">
      <c r="A98" s="7"/>
      <c r="B98" t="s">
        <v>262</v>
      </c>
      <c r="C98" s="59"/>
      <c r="D98" s="59"/>
      <c r="E98" s="59">
        <v>1.105972047242932</v>
      </c>
      <c r="F98" s="59">
        <v>1.105972047242932</v>
      </c>
      <c r="G98" s="59">
        <v>1.105972047242932</v>
      </c>
      <c r="H98" s="59">
        <v>1.105972047242932</v>
      </c>
      <c r="I98" s="59">
        <v>1.105972047242932</v>
      </c>
      <c r="J98" s="59"/>
      <c r="K98" s="59"/>
      <c r="L98" s="59"/>
      <c r="Q98" s="42"/>
      <c r="R98" s="42"/>
      <c r="S98" s="42"/>
    </row>
    <row r="99" spans="1:29" x14ac:dyDescent="0.2">
      <c r="A99" s="7"/>
      <c r="C99" s="59"/>
      <c r="D99" s="59"/>
      <c r="E99" s="59"/>
      <c r="F99" s="59"/>
      <c r="G99" s="59"/>
      <c r="H99" s="59"/>
      <c r="I99" s="59"/>
      <c r="J99" s="59"/>
      <c r="K99" s="59"/>
      <c r="L99" s="59"/>
      <c r="Q99" s="42"/>
      <c r="R99" s="42"/>
      <c r="S99" s="42"/>
    </row>
    <row r="100" spans="1:29" x14ac:dyDescent="0.2">
      <c r="A100" s="7"/>
      <c r="C100" s="59"/>
      <c r="D100" s="59"/>
      <c r="E100" s="59"/>
      <c r="F100" s="59"/>
      <c r="G100" s="59"/>
      <c r="H100" s="59"/>
      <c r="I100" s="59"/>
      <c r="J100" s="59"/>
      <c r="K100" s="59"/>
      <c r="L100" s="59"/>
    </row>
    <row r="101" spans="1:29" x14ac:dyDescent="0.2">
      <c r="A101" s="7"/>
      <c r="B101" s="31" t="s">
        <v>284</v>
      </c>
      <c r="C101" s="59"/>
      <c r="D101" s="59"/>
      <c r="E101" s="59"/>
      <c r="F101" s="59"/>
      <c r="G101" s="59"/>
      <c r="H101" s="59"/>
      <c r="I101" s="59"/>
      <c r="J101" s="59"/>
      <c r="K101" s="59"/>
      <c r="L101" s="59"/>
    </row>
    <row r="102" spans="1:29" x14ac:dyDescent="0.2">
      <c r="A102" s="7"/>
      <c r="B102" s="31" t="str">
        <f>'BGS PTY25 Cost Alloc'!$B$102</f>
        <v xml:space="preserve"> </v>
      </c>
    </row>
    <row r="103" spans="1:29" ht="15.75" x14ac:dyDescent="0.25">
      <c r="A103" s="7"/>
      <c r="B103" s="504" t="str">
        <f>$B$1</f>
        <v xml:space="preserve">Jersey Central Power &amp; Light </v>
      </c>
      <c r="C103" s="504"/>
      <c r="D103" s="504"/>
      <c r="E103" s="504"/>
      <c r="F103" s="504"/>
      <c r="G103" s="504"/>
      <c r="H103" s="504"/>
      <c r="I103" s="504"/>
      <c r="J103" s="504"/>
      <c r="K103" s="504"/>
      <c r="L103" s="504"/>
    </row>
    <row r="104" spans="1:29" ht="15.75" x14ac:dyDescent="0.25">
      <c r="A104" s="7"/>
      <c r="B104" s="504" t="str">
        <f>$B$2</f>
        <v>Attachment 2</v>
      </c>
      <c r="C104" s="504"/>
      <c r="D104" s="504"/>
      <c r="E104" s="504"/>
      <c r="F104" s="504"/>
      <c r="G104" s="504"/>
      <c r="H104" s="504"/>
      <c r="I104" s="504"/>
      <c r="J104" s="504"/>
      <c r="K104" s="504"/>
      <c r="L104" s="504"/>
    </row>
    <row r="105" spans="1:29" x14ac:dyDescent="0.2">
      <c r="A105" s="7"/>
    </row>
    <row r="106" spans="1:29" x14ac:dyDescent="0.2">
      <c r="A106" s="7"/>
    </row>
    <row r="107" spans="1:29" x14ac:dyDescent="0.2">
      <c r="A107" s="6" t="s">
        <v>34</v>
      </c>
      <c r="B107" s="1" t="s">
        <v>51</v>
      </c>
    </row>
    <row r="108" spans="1:29" x14ac:dyDescent="0.2">
      <c r="A108" s="7"/>
      <c r="B108" s="15" t="s">
        <v>171</v>
      </c>
      <c r="S108" s="446"/>
    </row>
    <row r="109" spans="1:29" x14ac:dyDescent="0.2">
      <c r="A109" s="7"/>
      <c r="B109" s="15" t="s">
        <v>21</v>
      </c>
      <c r="S109" s="92"/>
      <c r="AC109" s="446"/>
    </row>
    <row r="110" spans="1:29" x14ac:dyDescent="0.2">
      <c r="A110" s="7"/>
      <c r="B110" s="1"/>
      <c r="C110" s="2"/>
      <c r="D110" s="2"/>
      <c r="E110" s="2" t="str">
        <f>+E$13</f>
        <v>RT{1}</v>
      </c>
      <c r="F110" s="2" t="str">
        <f>+F$13</f>
        <v>RS{2}</v>
      </c>
      <c r="G110" s="2" t="str">
        <f>+G$13</f>
        <v>GS{3}</v>
      </c>
      <c r="H110" s="2" t="str">
        <f>+H$58</f>
        <v>GST {4}</v>
      </c>
      <c r="I110" s="2" t="str">
        <f>+I$13</f>
        <v>OL/SL</v>
      </c>
      <c r="J110" s="2"/>
      <c r="K110" s="2"/>
      <c r="L110" s="2"/>
      <c r="M110" s="2"/>
      <c r="N110" s="12"/>
      <c r="P110" s="5"/>
      <c r="W110" s="441"/>
      <c r="AC110" s="448"/>
    </row>
    <row r="111" spans="1:29" x14ac:dyDescent="0.2">
      <c r="A111" s="7"/>
      <c r="R111" s="73"/>
      <c r="S111" s="445"/>
      <c r="W111" s="2"/>
      <c r="X111" s="12"/>
      <c r="Z111" s="5"/>
    </row>
    <row r="112" spans="1:29" x14ac:dyDescent="0.2">
      <c r="A112" s="7"/>
      <c r="B112" s="23" t="s">
        <v>17</v>
      </c>
      <c r="C112" s="60"/>
      <c r="D112" s="60"/>
      <c r="E112" s="61">
        <f>(SUMPRODUCT(E20:E23,E65:E68,$D84:$D87,$H84:$H87)*E95+SUMPRODUCT(Q20:Q23,E65:E68,$F84:$F87,$I84:$I87)*E95)/SUM(E65:E68)</f>
        <v>70.729506770340606</v>
      </c>
      <c r="F112" s="61">
        <f>(SUMPRODUCT(F20:F23,F65:F68,$D84:$D87,$H84:$H87)*F95+SUMPRODUCT(R20:R23,F65:F68,$F84:$F87,$I84:$I87)*F95)/SUM(F65:F68)</f>
        <v>71.36764245466307</v>
      </c>
      <c r="G112" s="61">
        <f>(SUMPRODUCT(G20:G23,G65:G68,$D84:$D87,$H84:$H87)*G95+SUMPRODUCT(S20:S23,G65:G68,$F84:$F87,$I84:$I87)*G95)/SUM(G65:G68)</f>
        <v>71.249108322651864</v>
      </c>
      <c r="H112" s="61">
        <f>(SUMPRODUCT(H20:H23,H65:H68,$D84:$D87,$H84:$H87)*H95+SUMPRODUCT(T20:T23,H65:H68,$F84:$F87,$I84:$I87)*H95)/SUM(H65:H68)</f>
        <v>71.629102924005522</v>
      </c>
      <c r="I112" s="61">
        <f>(SUMPRODUCT(I20:I23,I65:I68,$D84:$D87,$H84:$H87)*I95+SUMPRODUCT(U20:U23,I65:I68,$F84:$F87,$I84:$I87)*I95)/SUM(I65:I68)</f>
        <v>60.713722226677554</v>
      </c>
      <c r="J112" s="62"/>
      <c r="K112" s="60"/>
      <c r="L112" s="60"/>
      <c r="M112" s="442"/>
      <c r="Z112" s="257"/>
      <c r="AB112" s="73"/>
      <c r="AC112" s="445"/>
    </row>
    <row r="113" spans="1:30" x14ac:dyDescent="0.2">
      <c r="A113" s="7"/>
      <c r="B113" s="63" t="s">
        <v>41</v>
      </c>
      <c r="C113" s="60"/>
      <c r="D113" s="60"/>
      <c r="E113" s="61">
        <f>(SUMPRODUCT(E20:E23,E65:E68,$D84:$D87,$H84:$H87)*E95)/SUMPRODUCT(E20:E23,E65:E68)</f>
        <v>88.266781450910656</v>
      </c>
      <c r="F113" s="61">
        <f>(SUMPRODUCT(F20:F23,F65:F68,$D84:$D87,$H84:$H87)*F95)/SUMPRODUCT(F20:F23,F65:F68)</f>
        <v>88.395480204667024</v>
      </c>
      <c r="G113" s="61">
        <f>(SUMPRODUCT(G20:G23,G65:G68,$D84:$D87,$H84:$H87)*G95)/SUMPRODUCT(G20:G23,G65:G68)</f>
        <v>87.125641047440311</v>
      </c>
      <c r="H113" s="61">
        <f>(SUMPRODUCT(H20:H23,H65:H68,$D84:$D87,$H84:$H87)*H95)/SUMPRODUCT(H20:H23,H65:H68)</f>
        <v>87.34362643818686</v>
      </c>
      <c r="I113" s="61">
        <f>(SUMPRODUCT(I20:I23,I65:I68,$D84:$D87,$H84:$H87)*I95)/SUMPRODUCT(I20:I23,I65:I68)</f>
        <v>85.500215141920847</v>
      </c>
      <c r="J113" s="62"/>
      <c r="K113" s="60"/>
      <c r="L113" s="60"/>
      <c r="M113" s="442"/>
      <c r="S113" s="449"/>
    </row>
    <row r="114" spans="1:30" x14ac:dyDescent="0.2">
      <c r="A114" s="7"/>
      <c r="B114" s="63" t="s">
        <v>42</v>
      </c>
      <c r="C114" s="60"/>
      <c r="D114" s="60"/>
      <c r="E114" s="61">
        <f>(SUMPRODUCT(Q20:Q23,E65:E68,$F84:$F87,$I84:$I87)*E95)/SUMPRODUCT(Q20:Q23,E65:E68)</f>
        <v>52.279668179406201</v>
      </c>
      <c r="F114" s="61">
        <f>(SUMPRODUCT(R20:R23,F65:F68,$F84:$F87,$I84:$I87)*F95)/SUMPRODUCT(R20:R23,F65:F68)</f>
        <v>52.380455934209735</v>
      </c>
      <c r="G114" s="61">
        <f>(SUMPRODUCT(S20:S23,G65:G68,$F84:$F87,$I84:$I87)*G95)/SUMPRODUCT(S20:S23,G65:G68)</f>
        <v>51.759190764778118</v>
      </c>
      <c r="H114" s="61">
        <f>(SUMPRODUCT(T20:T23,H65:H68,$F84:$F87,$I84:$I87)*H95)/SUMPRODUCT(T20:T23,H65:H68)</f>
        <v>51.945045343207383</v>
      </c>
      <c r="I114" s="61">
        <f>(SUMPRODUCT(U20:U23,I65:I68,$F84:$F87,$I84:$I87)*I95)/SUMPRODUCT(U20:U23,I65:I68)</f>
        <v>51.22682190694897</v>
      </c>
      <c r="J114" s="62"/>
      <c r="K114" s="60"/>
      <c r="L114" s="60"/>
      <c r="M114" s="2"/>
      <c r="N114" s="12"/>
      <c r="P114" s="5"/>
      <c r="W114" s="441"/>
      <c r="AC114" s="448"/>
    </row>
    <row r="115" spans="1:30" x14ac:dyDescent="0.2">
      <c r="A115" s="7"/>
      <c r="C115" s="119"/>
      <c r="D115" s="119"/>
      <c r="E115" s="120"/>
      <c r="F115" s="120"/>
      <c r="G115" s="120"/>
      <c r="H115" s="120"/>
      <c r="I115" s="120"/>
      <c r="J115" s="62"/>
      <c r="K115" s="119"/>
      <c r="L115" s="119"/>
      <c r="R115" s="73"/>
      <c r="S115" s="445"/>
      <c r="W115" s="2"/>
      <c r="X115" s="12"/>
      <c r="Z115" s="5"/>
    </row>
    <row r="116" spans="1:30" x14ac:dyDescent="0.2">
      <c r="A116" s="7"/>
      <c r="B116" s="23" t="s">
        <v>18</v>
      </c>
      <c r="C116" s="60"/>
      <c r="D116" s="60"/>
      <c r="E116" s="61">
        <f>(SUMPRODUCT(E15:E19,E60:E64,$D79:$D83,$H79:$H83)*E95+SUMPRODUCT(Q15:Q19,E60:E64,$F79:$F83,$I79:$I83)*E95+SUMPRODUCT(E24:E26,E69:E71,$D88:$D90,$H88:$H90)*E95+SUMPRODUCT(Q24:Q26,E69:E71,$F88:$F90,$I88:$I90)*E95)/SUM(E60:E64,E69:E71)</f>
        <v>62.71804684487649</v>
      </c>
      <c r="F116" s="61">
        <f>(SUMPRODUCT(F15:F19,F60:F64,$D79:$D83,$H79:$H83)*F95+SUMPRODUCT(R15:R19,F60:F64,$F79:$F83,$I79:$I83)*F95+SUMPRODUCT(F24:F26,F69:F71,$D88:$D90,$H88:$H90)*F95+SUMPRODUCT(R24:R26,F69:F71,$F88:$F90,$I88:$I90)*F95)/SUM(F60:F64,F69:F71)</f>
        <v>62.087976406675189</v>
      </c>
      <c r="G116" s="61">
        <f>(SUMPRODUCT(G15:G19,G60:G64,$D79:$D83,$H79:$H83)*G95+SUMPRODUCT(S15:S19,G60:G64,$F79:$F83,$I79:$I83)*G95+SUMPRODUCT(G24:G26,G69:G71,$D88:$D90,$H88:$H90)*G95+SUMPRODUCT(S24:S26,G69:G71,$F88:$F90,$I88:$I90)*G95)/SUM(G60:G64,G69:G71)</f>
        <v>61.182657828743707</v>
      </c>
      <c r="H116" s="61">
        <f>(SUMPRODUCT(H15:H19,H60:H64,$D79:$D83,$H79:$H83)*H95+SUMPRODUCT(T15:T19,H60:H64,$F79:$F83,$I79:$I83)*H95+SUMPRODUCT(H24:H26,H69:H71,$D88:$D90,$H88:$H90)*H95+SUMPRODUCT(T24:T26,H69:H71,$F88:$F90,$I88:$I90)*H95)/SUM(H60:H64,H69:H71)</f>
        <v>61.184564183880731</v>
      </c>
      <c r="I116" s="61">
        <f>(SUMPRODUCT(I15:I19,I60:I64,$D79:$D83,$H79:$H83)*I95+SUMPRODUCT(U15:U19,I60:I64,$F79:$F83,$I79:$I83)*I95+SUMPRODUCT(I24:I26,I69:I71,$D88:$D90,$H88:$H90)*I95+SUMPRODUCT(U24:U26,I69:I71,$F88:$F90,$I88:$I90)*I95)/SUM(I60:I64,I69:I71)</f>
        <v>58.677081299204289</v>
      </c>
      <c r="J116" s="62"/>
      <c r="K116" s="60"/>
      <c r="L116" s="60"/>
      <c r="M116" s="293"/>
      <c r="Z116" s="257"/>
      <c r="AB116" s="73"/>
      <c r="AC116" s="445"/>
    </row>
    <row r="117" spans="1:30" x14ac:dyDescent="0.2">
      <c r="A117" s="7"/>
      <c r="B117" s="63" t="s">
        <v>41</v>
      </c>
      <c r="C117" s="60"/>
      <c r="D117" s="60"/>
      <c r="E117" s="61">
        <f>(SUMPRODUCT(E15:E19,E60:E64,$D79:$D83,$H79:$H83)*E95+SUMPRODUCT(E24:E26,E69:E71,$D88:$D90,$H88:$H90)*E95)/(SUMPRODUCT(E15:E19,E60:E64)+SUMPRODUCT(E24:E26,E69:E71))</f>
        <v>67.787626671631855</v>
      </c>
      <c r="F117" s="61">
        <f>(SUMPRODUCT(F15:F19,F60:F64,$D79:$D83,$H79:$H83)*F95+SUMPRODUCT(F24:F26,F69:F71,$D88:$D90,$H88:$H90)*F95)/(SUMPRODUCT(F15:F19,F60:F64)+SUMPRODUCT(F24:F26,F69:F71))</f>
        <v>66.841066499993417</v>
      </c>
      <c r="G117" s="61">
        <f>(SUMPRODUCT(G15:G19,G60:G64,$D79:$D83,$H79:$H83)*G95+SUMPRODUCT(G24:G26,G69:G71,$D88:$D90,$H88:$H90)*G95)/(SUMPRODUCT(G15:G19,G60:G64)+SUMPRODUCT(G24:G26,G69:G71))</f>
        <v>65.543422317012684</v>
      </c>
      <c r="H117" s="61">
        <f>(SUMPRODUCT(H15:H19,H60:H64,$D79:$D83,$H79:$H83)*H95+SUMPRODUCT(H24:H26,H69:H71,$D88:$D90,$H88:$H90)*H95)/(SUMPRODUCT(H15:H19,H60:H64)+SUMPRODUCT(H24:H26,H69:H71))</f>
        <v>65.428070743142925</v>
      </c>
      <c r="I117" s="61">
        <f>(SUMPRODUCT(I15:I19,I60:I64,$D79:$D83,$H79:$H83)*I95+SUMPRODUCT(I24:I26,I69:I71,$D88:$D90,$H88:$H90)*I95)/(SUMPRODUCT(I15:I19,I60:I64)+SUMPRODUCT(I24:I26,I69:I71))</f>
        <v>65.389137602804752</v>
      </c>
      <c r="J117" s="62"/>
      <c r="K117" s="60"/>
      <c r="L117" s="60"/>
      <c r="M117" s="442"/>
      <c r="S117" s="448"/>
    </row>
    <row r="118" spans="1:30" x14ac:dyDescent="0.2">
      <c r="A118" s="7"/>
      <c r="B118" s="63" t="s">
        <v>42</v>
      </c>
      <c r="C118" s="60"/>
      <c r="D118" s="60"/>
      <c r="E118" s="61">
        <f>(SUMPRODUCT(Q15:Q19,E60:E64,$F79:$F83,$I79:$I83)*E95+SUMPRODUCT(Q24:Q26,E69:E71,$F88:$F90,$I88:$I90)*E95)/(SUMPRODUCT(Q15:Q19,E60:E64)+SUMPRODUCT(Q24:Q26,E69:E71))</f>
        <v>58.124138024890748</v>
      </c>
      <c r="F118" s="61">
        <f>(SUMPRODUCT(R15:R19,F60:F64,$F79:$F83,$I79:$I83)*F95+SUMPRODUCT(R24:R26,F69:F71,$F88:$F90,$I88:$I90)*F95)/(SUMPRODUCT(R15:R19,F60:F64)+SUMPRODUCT(R24:R26,F69:F71))</f>
        <v>57.448443116508642</v>
      </c>
      <c r="G118" s="61">
        <f>(SUMPRODUCT(S15:S19,G60:G64,$F79:$F83,$I79:$I83)*G95+SUMPRODUCT(S24:S26,G69:G71,$F88:$F90,$I88:$I90)*G95)/(SUMPRODUCT(S15:S19,G60:G64)+SUMPRODUCT(S24:S26,G69:G71))</f>
        <v>56.493122117794265</v>
      </c>
      <c r="H118" s="61">
        <f>(SUMPRODUCT(T15:T19,H60:H64,$F79:$F83,$I79:$I83)*H95+SUMPRODUCT(T24:T26,H69:H71,$F88:$F90,$I88:$I90)*H95)/(SUMPRODUCT(T15:T19,H60:H64)+SUMPRODUCT(T24:T26,H69:H71))</f>
        <v>56.463972080746935</v>
      </c>
      <c r="I118" s="61">
        <f>(SUMPRODUCT(U15:U19,I60:I64,$F79:$F83,$I79:$I83)*I95+SUMPRODUCT(U24:U26,I69:I71,$F88:$F90,$I88:$I90)*I95)/(SUMPRODUCT(U15:U19,I60:I64)+SUMPRODUCT(U24:U26,I69:I71))</f>
        <v>55.819251973085059</v>
      </c>
      <c r="J118" s="62"/>
      <c r="K118" s="60"/>
      <c r="L118" s="60"/>
      <c r="M118" s="2"/>
      <c r="N118" s="12"/>
      <c r="P118" s="5"/>
      <c r="W118" s="441"/>
      <c r="AC118" s="448"/>
    </row>
    <row r="119" spans="1:30" x14ac:dyDescent="0.2">
      <c r="A119" s="7"/>
      <c r="C119" s="119"/>
      <c r="D119" s="119"/>
      <c r="E119" s="120"/>
      <c r="F119" s="120"/>
      <c r="G119" s="120"/>
      <c r="H119" s="120"/>
      <c r="I119" s="120"/>
      <c r="J119" s="62"/>
      <c r="K119" s="119"/>
      <c r="L119" s="119"/>
      <c r="R119" s="73"/>
      <c r="S119" s="445"/>
      <c r="W119" s="2"/>
      <c r="X119" s="12"/>
      <c r="Z119" s="5"/>
    </row>
    <row r="120" spans="1:30" x14ac:dyDescent="0.2">
      <c r="A120" s="7"/>
      <c r="B120" t="s">
        <v>16</v>
      </c>
      <c r="C120" s="60"/>
      <c r="D120" s="64"/>
      <c r="E120" s="65">
        <f>(E112*SUM(E65:E68)+E116*SUM(E60:E64,E69:E71))/E72</f>
        <v>65.448316966564946</v>
      </c>
      <c r="F120" s="65">
        <f>(F112*SUM(F65:F68)+F116*SUM(F60:F64,F69:F71))/F72</f>
        <v>65.969386635092889</v>
      </c>
      <c r="G120" s="65">
        <f>(G112*SUM(G65:G68)+G116*SUM(G60:G64,G69:G71))/G72</f>
        <v>64.809262650648748</v>
      </c>
      <c r="H120" s="65">
        <f>(H112*SUM(H65:H68)+H116*SUM(H60:H64,H69:H71))/H72</f>
        <v>64.557523382073441</v>
      </c>
      <c r="I120" s="65">
        <f>(I112*SUM(I65:I68)+I116*SUM(I60:I64,I69:I71))/I72</f>
        <v>59.356135612591864</v>
      </c>
      <c r="J120" s="62"/>
      <c r="K120" s="64"/>
      <c r="L120" s="64"/>
      <c r="M120" s="442"/>
      <c r="Z120" s="257"/>
      <c r="AB120" s="73"/>
      <c r="AC120" s="445"/>
    </row>
    <row r="121" spans="1:30" x14ac:dyDescent="0.2">
      <c r="A121" s="7"/>
      <c r="C121" s="60"/>
      <c r="D121" s="64"/>
      <c r="E121" s="64"/>
      <c r="F121" s="64"/>
      <c r="G121" s="64"/>
      <c r="H121" s="64"/>
      <c r="I121" s="64"/>
      <c r="J121" s="64"/>
      <c r="K121" s="64"/>
      <c r="L121" s="64"/>
      <c r="M121" s="442"/>
      <c r="S121" s="448"/>
    </row>
    <row r="122" spans="1:30" x14ac:dyDescent="0.2">
      <c r="A122" s="7"/>
      <c r="B122" t="s">
        <v>44</v>
      </c>
      <c r="C122" s="60">
        <f>SUMPRODUCT(C120:I120,C72:I72)/SUM(C72:I72)</f>
        <v>65.475446190688686</v>
      </c>
      <c r="D122" s="64"/>
      <c r="E122" s="64"/>
      <c r="F122" s="64"/>
      <c r="G122" s="64"/>
      <c r="H122" s="64"/>
      <c r="I122" s="64"/>
      <c r="J122" s="64"/>
      <c r="K122" s="64"/>
      <c r="L122" s="64"/>
      <c r="M122" s="2"/>
      <c r="N122" s="12"/>
      <c r="P122" s="5"/>
      <c r="W122" s="441"/>
      <c r="AC122" s="448"/>
    </row>
    <row r="123" spans="1:30" x14ac:dyDescent="0.2">
      <c r="A123" s="7"/>
      <c r="C123" s="60"/>
      <c r="D123" s="64"/>
      <c r="E123" s="64"/>
      <c r="F123" s="64"/>
      <c r="G123" s="64"/>
      <c r="H123" s="64"/>
      <c r="I123" s="64"/>
      <c r="J123" s="64"/>
      <c r="K123" s="64"/>
      <c r="L123" s="64"/>
      <c r="R123" s="73"/>
      <c r="S123" s="445"/>
      <c r="W123" s="2"/>
      <c r="X123" s="12"/>
      <c r="Z123" s="5"/>
    </row>
    <row r="124" spans="1:30" x14ac:dyDescent="0.2">
      <c r="A124" s="7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442"/>
      <c r="Z124" s="257"/>
      <c r="AB124" s="73"/>
      <c r="AC124" s="445"/>
      <c r="AD124" s="257"/>
    </row>
    <row r="125" spans="1:30" x14ac:dyDescent="0.2">
      <c r="A125" s="6" t="s">
        <v>35</v>
      </c>
      <c r="B125" s="1" t="s">
        <v>49</v>
      </c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441"/>
      <c r="S125" s="448"/>
    </row>
    <row r="126" spans="1:30" x14ac:dyDescent="0.2">
      <c r="A126" s="7"/>
      <c r="B126" s="15" t="s">
        <v>172</v>
      </c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2"/>
      <c r="N126" s="12"/>
      <c r="P126" s="5"/>
      <c r="W126" s="441"/>
      <c r="AC126" s="448"/>
    </row>
    <row r="127" spans="1:30" x14ac:dyDescent="0.2">
      <c r="A127" s="7"/>
      <c r="B127" s="15" t="s">
        <v>43</v>
      </c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R127" s="73"/>
      <c r="S127" s="445"/>
      <c r="W127" s="2"/>
      <c r="X127" s="12"/>
      <c r="Z127" s="5"/>
    </row>
    <row r="128" spans="1:30" x14ac:dyDescent="0.2">
      <c r="A128" s="7"/>
      <c r="B128" s="1"/>
      <c r="C128" s="2"/>
      <c r="D128" s="2"/>
      <c r="E128" s="2" t="str">
        <f>+E$13</f>
        <v>RT{1}</v>
      </c>
      <c r="F128" s="2" t="str">
        <f>+F$13</f>
        <v>RS{2}</v>
      </c>
      <c r="G128" s="2" t="str">
        <f>+G$13</f>
        <v>GS{3}</v>
      </c>
      <c r="H128" s="2" t="str">
        <f>+H$58</f>
        <v>GST {4}</v>
      </c>
      <c r="I128" s="2" t="str">
        <f>+I$13</f>
        <v>OL/SL</v>
      </c>
      <c r="J128" s="2" t="s">
        <v>13</v>
      </c>
      <c r="K128" s="2"/>
      <c r="L128" s="2"/>
      <c r="M128" s="2"/>
      <c r="Z128" s="257"/>
      <c r="AB128" s="73"/>
      <c r="AC128" s="445"/>
      <c r="AD128" s="257"/>
    </row>
    <row r="129" spans="1:30" x14ac:dyDescent="0.2">
      <c r="A129" s="7"/>
      <c r="C129" s="3"/>
      <c r="M129" s="441"/>
      <c r="S129" s="448"/>
    </row>
    <row r="130" spans="1:30" x14ac:dyDescent="0.2">
      <c r="A130" s="7"/>
      <c r="B130" s="23" t="s">
        <v>17</v>
      </c>
      <c r="C130" s="62"/>
      <c r="D130" s="62"/>
      <c r="E130" s="62">
        <f>SUM(E65:E68)*E112/1000</f>
        <v>4213.215259295649</v>
      </c>
      <c r="F130" s="62">
        <f>SUM(F65:F68)*F112/1000</f>
        <v>288018.82286013849</v>
      </c>
      <c r="G130" s="62">
        <f>SUM(G65:G68)*G112/1000</f>
        <v>149022.49749440898</v>
      </c>
      <c r="H130" s="62">
        <f>SUM(H65:H68)*H112/1000</f>
        <v>3864.4617318530218</v>
      </c>
      <c r="I130" s="62">
        <f>SUM(I65:I68)*I112/1000</f>
        <v>2448.3415625129987</v>
      </c>
      <c r="J130" s="62">
        <f>SUM(E130:I130)</f>
        <v>447567.33890820912</v>
      </c>
      <c r="K130" s="62"/>
      <c r="L130" s="62"/>
      <c r="M130" s="2"/>
      <c r="N130" s="12"/>
      <c r="P130" s="5"/>
      <c r="W130" s="441"/>
      <c r="AC130" s="448"/>
    </row>
    <row r="131" spans="1:30" x14ac:dyDescent="0.2">
      <c r="A131" s="7"/>
      <c r="B131" s="63" t="s">
        <v>41</v>
      </c>
      <c r="C131" s="62"/>
      <c r="D131" s="62"/>
      <c r="E131" s="62">
        <f>SUMPRODUCT(E65:E68,E20:E23)*E113/1000</f>
        <v>2695.6026205997673</v>
      </c>
      <c r="F131" s="62">
        <f>SUMPRODUCT(F65:F68,F20:F23)*F113/1000</f>
        <v>188073.01416080823</v>
      </c>
      <c r="G131" s="62">
        <f>SUMPRODUCT(G65:G68,G20:G23)*G113/1000</f>
        <v>100423.8623569881</v>
      </c>
      <c r="H131" s="62">
        <f>SUMPRODUCT(H65:H68,H20:H23)*H113/1000</f>
        <v>2620.35112860134</v>
      </c>
      <c r="I131" s="62">
        <f>SUMPRODUCT(I65:I68,I20:I23)*I113/1000</f>
        <v>954.37617012141288</v>
      </c>
      <c r="J131" s="62">
        <f>SUM(E131:I131)</f>
        <v>294767.20643711888</v>
      </c>
      <c r="K131" s="62"/>
      <c r="L131" s="62"/>
      <c r="R131" s="73"/>
      <c r="S131" s="445"/>
      <c r="W131" s="2"/>
      <c r="X131" s="12"/>
      <c r="Z131" s="5"/>
    </row>
    <row r="132" spans="1:30" x14ac:dyDescent="0.2">
      <c r="A132" s="7"/>
      <c r="B132" s="63" t="s">
        <v>42</v>
      </c>
      <c r="C132" s="62"/>
      <c r="D132" s="62"/>
      <c r="E132" s="62">
        <f>SUMPRODUCT(E65:E68,Q20:Q23)*E114/1000</f>
        <v>1517.6126386958817</v>
      </c>
      <c r="F132" s="62">
        <f>SUMPRODUCT(F65:F68,R20:R23)*F114/1000</f>
        <v>99945.808699330228</v>
      </c>
      <c r="G132" s="62">
        <f>SUMPRODUCT(G65:G68,S20:S23)*G114/1000</f>
        <v>48598.635137420846</v>
      </c>
      <c r="H132" s="62">
        <f>SUMPRODUCT(H65:H68,T20:T23)*H114/1000</f>
        <v>1244.1106032516823</v>
      </c>
      <c r="I132" s="62">
        <f>SUMPRODUCT(I65:I68,U20:U23)*I114/1000</f>
        <v>1493.965392391586</v>
      </c>
      <c r="J132" s="62">
        <f>SUM(E132:I132)</f>
        <v>152800.13247109021</v>
      </c>
      <c r="K132" s="62"/>
      <c r="L132" s="62"/>
      <c r="M132" s="444"/>
      <c r="Z132" s="257"/>
      <c r="AB132" s="73"/>
      <c r="AC132" s="445"/>
      <c r="AD132" s="257"/>
    </row>
    <row r="133" spans="1:30" x14ac:dyDescent="0.2">
      <c r="A133" s="7"/>
      <c r="C133" s="66"/>
      <c r="D133" s="66"/>
      <c r="E133" s="66"/>
      <c r="F133" s="66"/>
      <c r="G133" s="66"/>
      <c r="H133" s="66"/>
      <c r="I133" s="66"/>
      <c r="J133" s="62"/>
      <c r="K133" s="66"/>
      <c r="L133" s="66"/>
      <c r="M133" s="441"/>
      <c r="S133" s="448"/>
    </row>
    <row r="134" spans="1:30" x14ac:dyDescent="0.2">
      <c r="A134" s="7"/>
      <c r="B134" s="23" t="s">
        <v>18</v>
      </c>
      <c r="C134" s="66"/>
      <c r="D134" s="66"/>
      <c r="E134" s="66">
        <f>SUM(E60:E64,E69:E71)*E116/1000</f>
        <v>7226.561511607204</v>
      </c>
      <c r="F134" s="66">
        <f>SUM(F60:F64,F69:F71)*F116/1000</f>
        <v>348490.49837420683</v>
      </c>
      <c r="G134" s="66">
        <f>SUM(G60:G64,G69:G71)*G116/1000</f>
        <v>227235.38912618774</v>
      </c>
      <c r="H134" s="66">
        <f>SUM(H60:H64,H69:H71)*H116/1000</f>
        <v>6920.6472394029333</v>
      </c>
      <c r="I134" s="66">
        <f>SUM(I60:I64,I69:I71)*I116/1000</f>
        <v>4730.6049714231494</v>
      </c>
      <c r="J134" s="62">
        <f>SUM(E134:I134)</f>
        <v>594603.70122282789</v>
      </c>
      <c r="K134" s="66"/>
      <c r="L134" s="66"/>
      <c r="M134" s="2"/>
      <c r="N134" s="12"/>
      <c r="P134" s="5"/>
      <c r="W134" s="441"/>
      <c r="AC134" s="448"/>
    </row>
    <row r="135" spans="1:30" x14ac:dyDescent="0.2">
      <c r="A135" s="7"/>
      <c r="B135" s="63" t="s">
        <v>41</v>
      </c>
      <c r="C135" s="62"/>
      <c r="D135" s="62"/>
      <c r="E135" s="62">
        <f>(SUMPRODUCT(E60:E64,E15:E19)+SUMPRODUCT(E69:E71,E24:E26))*E117/1000</f>
        <v>3713.1119026483238</v>
      </c>
      <c r="F135" s="62">
        <f>(SUMPRODUCT(F60:F64,F15:F19)+SUMPRODUCT(F69:F71,F24:F26))*F117/1000</f>
        <v>185316.54444271867</v>
      </c>
      <c r="G135" s="62">
        <f>(SUMPRODUCT(G60:G64,G15:G19)+SUMPRODUCT(G69:G71,G24:G26))*G117/1000</f>
        <v>126137.3217915158</v>
      </c>
      <c r="H135" s="62">
        <f>(SUMPRODUCT(H60:H64,H15:H19)+SUMPRODUCT(H69:H71,H24:H26))*H117/1000</f>
        <v>3897.2548318576896</v>
      </c>
      <c r="I135" s="62">
        <f>(SUMPRODUCT(I60:I64,I15:I19)+SUMPRODUCT(I69:I71,I24:I26))*I117/1000</f>
        <v>1574.2849052672818</v>
      </c>
      <c r="J135" s="62">
        <f>SUM(E135:I135)</f>
        <v>320638.51787400775</v>
      </c>
      <c r="K135" s="62"/>
      <c r="L135" s="62"/>
      <c r="P135" s="257"/>
      <c r="R135" s="73"/>
      <c r="S135" s="445"/>
      <c r="W135" s="2"/>
      <c r="X135" s="12"/>
      <c r="Z135" s="5"/>
    </row>
    <row r="136" spans="1:30" x14ac:dyDescent="0.2">
      <c r="A136" s="7"/>
      <c r="B136" s="63" t="s">
        <v>42</v>
      </c>
      <c r="C136" s="62"/>
      <c r="D136" s="62"/>
      <c r="E136" s="62">
        <f>+(SUMPRODUCT(E60:E64,Q15:Q19)+SUMPRODUCT(E69:E71,Q24:Q26))*E118/1000</f>
        <v>3513.4496089588797</v>
      </c>
      <c r="F136" s="62">
        <f>+(SUMPRODUCT(F60:F64,R15:R19)+SUMPRODUCT(F69:F71,R24:R26))*F118/1000</f>
        <v>163173.95393148815</v>
      </c>
      <c r="G136" s="62">
        <f>+(SUMPRODUCT(G60:G64,S15:S19)+SUMPRODUCT(G69:G71,S24:S26))*G118/1000</f>
        <v>101098.06733467194</v>
      </c>
      <c r="H136" s="62">
        <f>+(SUMPRODUCT(H60:H64,T15:T19)+SUMPRODUCT(H69:H71,T24:T26))*H118/1000</f>
        <v>3023.3924075452437</v>
      </c>
      <c r="I136" s="62">
        <f>+(SUMPRODUCT(I60:I64,U15:U19)+SUMPRODUCT(I69:I71,U24:U26))*I118/1000</f>
        <v>3156.3200661558676</v>
      </c>
      <c r="J136" s="62">
        <f>SUM(E136:I136)</f>
        <v>273965.18334882008</v>
      </c>
      <c r="K136" s="62"/>
      <c r="L136" s="62"/>
      <c r="M136" s="444"/>
      <c r="Z136" s="257"/>
      <c r="AB136" s="73"/>
      <c r="AC136" s="445"/>
      <c r="AD136" s="257"/>
    </row>
    <row r="137" spans="1:30" x14ac:dyDescent="0.2">
      <c r="A137" s="7"/>
      <c r="C137" s="119"/>
      <c r="D137" s="119"/>
      <c r="E137" s="119"/>
      <c r="F137" s="119"/>
      <c r="G137" s="119"/>
      <c r="H137" s="119"/>
      <c r="I137" s="119"/>
      <c r="J137" s="62"/>
      <c r="K137" s="119"/>
      <c r="L137" s="119"/>
      <c r="M137" s="441"/>
      <c r="S137" s="448"/>
    </row>
    <row r="138" spans="1:30" x14ac:dyDescent="0.2">
      <c r="A138" s="7"/>
      <c r="B138" t="s">
        <v>16</v>
      </c>
      <c r="C138" s="66"/>
      <c r="D138" s="66"/>
      <c r="E138" s="66">
        <f>+E130+E134</f>
        <v>11439.776770902852</v>
      </c>
      <c r="F138" s="66">
        <f>+F130+F134</f>
        <v>636509.32123434532</v>
      </c>
      <c r="G138" s="66">
        <f>+G130+G134</f>
        <v>376257.88662059675</v>
      </c>
      <c r="H138" s="66">
        <f>+H130+H134</f>
        <v>10785.108971255955</v>
      </c>
      <c r="I138" s="66">
        <f>+I130+I134</f>
        <v>7178.9465339361486</v>
      </c>
      <c r="J138" s="62">
        <f>SUM(E138:I138)</f>
        <v>1042171.040131037</v>
      </c>
      <c r="K138" s="66"/>
      <c r="L138" s="66"/>
      <c r="M138" s="2"/>
      <c r="N138" s="12"/>
      <c r="P138" s="5"/>
      <c r="W138" s="441"/>
      <c r="AC138" s="448"/>
    </row>
    <row r="139" spans="1:30" x14ac:dyDescent="0.2">
      <c r="A139" s="7"/>
      <c r="P139" s="257"/>
      <c r="R139" s="73"/>
      <c r="S139" s="445"/>
      <c r="W139" s="2"/>
      <c r="X139" s="12"/>
      <c r="Z139" s="5"/>
    </row>
    <row r="140" spans="1:30" x14ac:dyDescent="0.2">
      <c r="A140" s="7"/>
      <c r="B140" t="s">
        <v>44</v>
      </c>
      <c r="C140" s="62">
        <f>SUM(C138:I138)</f>
        <v>1042171.040131037</v>
      </c>
      <c r="E140" s="67"/>
      <c r="F140" s="60"/>
      <c r="Z140" s="257"/>
      <c r="AB140" s="73"/>
      <c r="AC140" s="445"/>
      <c r="AD140" s="257"/>
    </row>
    <row r="141" spans="1:30" x14ac:dyDescent="0.2">
      <c r="A141" s="7"/>
      <c r="M141" s="441"/>
      <c r="S141" s="448"/>
    </row>
    <row r="142" spans="1:30" x14ac:dyDescent="0.2">
      <c r="A142" s="7"/>
      <c r="M142" s="2"/>
      <c r="N142" s="12"/>
      <c r="P142" s="5"/>
      <c r="W142" s="441"/>
      <c r="AC142" s="448"/>
    </row>
    <row r="143" spans="1:30" ht="15.75" x14ac:dyDescent="0.25">
      <c r="A143" s="7"/>
      <c r="B143" s="504" t="str">
        <f>$B$1</f>
        <v xml:space="preserve">Jersey Central Power &amp; Light </v>
      </c>
      <c r="C143" s="504"/>
      <c r="D143" s="504"/>
      <c r="E143" s="504"/>
      <c r="F143" s="504"/>
      <c r="G143" s="504"/>
      <c r="H143" s="504"/>
      <c r="I143" s="504"/>
      <c r="J143" s="504"/>
      <c r="K143" s="504"/>
      <c r="L143" s="504"/>
      <c r="P143" s="257"/>
      <c r="R143" s="73"/>
      <c r="S143" s="445"/>
      <c r="W143" s="2"/>
      <c r="X143" s="12"/>
      <c r="Z143" s="5"/>
    </row>
    <row r="144" spans="1:30" ht="15.75" x14ac:dyDescent="0.25">
      <c r="A144" s="7"/>
      <c r="B144" s="504" t="str">
        <f>$B$2</f>
        <v>Attachment 2</v>
      </c>
      <c r="C144" s="504"/>
      <c r="D144" s="504"/>
      <c r="E144" s="504"/>
      <c r="F144" s="504"/>
      <c r="G144" s="504"/>
      <c r="H144" s="504"/>
      <c r="I144" s="504"/>
      <c r="J144" s="504"/>
      <c r="K144" s="504"/>
      <c r="L144" s="504"/>
      <c r="Z144" s="257"/>
      <c r="AB144" s="73"/>
      <c r="AC144" s="445"/>
      <c r="AD144" s="257"/>
    </row>
    <row r="145" spans="1:51" x14ac:dyDescent="0.2">
      <c r="A145" s="7"/>
      <c r="W145" t="s">
        <v>123</v>
      </c>
      <c r="Z145" t="s">
        <v>124</v>
      </c>
    </row>
    <row r="146" spans="1:51" x14ac:dyDescent="0.2">
      <c r="A146" s="6" t="s">
        <v>70</v>
      </c>
      <c r="B146" s="1" t="s">
        <v>71</v>
      </c>
      <c r="C146" s="64"/>
    </row>
    <row r="147" spans="1:51" x14ac:dyDescent="0.2">
      <c r="A147" s="7"/>
      <c r="B147" s="15" t="s">
        <v>173</v>
      </c>
      <c r="C147" s="64"/>
      <c r="Q147" t="s">
        <v>126</v>
      </c>
      <c r="T147" t="s">
        <v>122</v>
      </c>
      <c r="W147" t="s">
        <v>123</v>
      </c>
      <c r="Z147" t="s">
        <v>124</v>
      </c>
    </row>
    <row r="148" spans="1:51" x14ac:dyDescent="0.2">
      <c r="A148" s="7"/>
      <c r="B148" s="15" t="s">
        <v>21</v>
      </c>
      <c r="C148" s="64"/>
      <c r="W148" t="s">
        <v>127</v>
      </c>
      <c r="Z148" t="s">
        <v>128</v>
      </c>
      <c r="AC148" t="s">
        <v>125</v>
      </c>
    </row>
    <row r="149" spans="1:51" x14ac:dyDescent="0.2">
      <c r="A149" s="7"/>
      <c r="B149" s="1"/>
      <c r="C149" s="2"/>
      <c r="D149" s="2"/>
      <c r="E149" s="2" t="str">
        <f>+E$13</f>
        <v>RT{1}</v>
      </c>
      <c r="F149" s="2" t="str">
        <f>+F$13</f>
        <v>RS{2}</v>
      </c>
      <c r="G149" s="2" t="str">
        <f>+G$13</f>
        <v>GS{3}</v>
      </c>
      <c r="H149" s="2" t="str">
        <f>+H$58</f>
        <v>GST {4}</v>
      </c>
      <c r="I149" s="2" t="str">
        <f>+I$13</f>
        <v>OL/SL</v>
      </c>
      <c r="J149" s="2"/>
      <c r="K149" s="2"/>
      <c r="L149" s="2"/>
    </row>
    <row r="150" spans="1:51" x14ac:dyDescent="0.2">
      <c r="A150" s="7"/>
      <c r="C150" s="3"/>
      <c r="M150" s="2"/>
      <c r="Q150" s="2" t="str">
        <f>+$H149</f>
        <v>GST {4}</v>
      </c>
      <c r="R150" s="2"/>
      <c r="S150" s="2"/>
      <c r="T150" s="2" t="str">
        <f>+$H149</f>
        <v>GST {4}</v>
      </c>
      <c r="U150" s="2"/>
      <c r="V150" s="2"/>
      <c r="W150" s="2" t="str">
        <f>+$H149</f>
        <v>GST {4}</v>
      </c>
      <c r="X150" s="2"/>
      <c r="Z150" s="2" t="str">
        <f>+$H149</f>
        <v>GST {4}</v>
      </c>
      <c r="AA150" s="2"/>
      <c r="AC150" s="2" t="str">
        <f>+$H149</f>
        <v>GST {4}</v>
      </c>
      <c r="AD150" s="2"/>
      <c r="AU150" s="2"/>
      <c r="AV150" s="2"/>
      <c r="AW150" s="2"/>
      <c r="AX150" s="2"/>
      <c r="AY150" s="2"/>
    </row>
    <row r="151" spans="1:51" x14ac:dyDescent="0.2">
      <c r="A151" s="7"/>
      <c r="B151" s="23" t="s">
        <v>17</v>
      </c>
      <c r="C151" s="60"/>
      <c r="D151" s="60"/>
      <c r="E151" s="61">
        <f>+E130/SUM(E65:E68)*1000</f>
        <v>70.729506770340606</v>
      </c>
      <c r="F151" s="61">
        <f>+F130/SUM(F65:F68)*1000</f>
        <v>71.36764245466307</v>
      </c>
      <c r="G151" s="61">
        <f>+G130/SUM(G65:G68)*1000</f>
        <v>71.249108322651864</v>
      </c>
      <c r="H151" s="61">
        <f>+H130/SUM(H65:H68)*1000</f>
        <v>71.629102924005522</v>
      </c>
      <c r="I151" s="61">
        <f>+I130/SUM(I65:I68)*1000</f>
        <v>60.713722226677547</v>
      </c>
      <c r="J151" s="60"/>
      <c r="K151" s="60"/>
      <c r="L151" s="60"/>
    </row>
    <row r="152" spans="1:51" x14ac:dyDescent="0.2">
      <c r="A152" s="7"/>
      <c r="B152" s="63" t="s">
        <v>72</v>
      </c>
      <c r="C152" s="62"/>
      <c r="D152" s="62"/>
      <c r="E152" s="61">
        <f>+(E131*1000-X165*AVERAGE(E$113,E$114))/R165</f>
        <v>92.890570920933982</v>
      </c>
      <c r="F152" s="61"/>
      <c r="G152" s="61"/>
      <c r="H152" s="61">
        <f>+(H131*1000-W153*AVERAGE(H$113,H$114))/Q153</f>
        <v>91.321001390734764</v>
      </c>
      <c r="I152" s="61"/>
      <c r="J152" s="62"/>
      <c r="K152" s="62"/>
      <c r="L152" s="60"/>
      <c r="M152" s="60"/>
      <c r="P152" s="10" t="s">
        <v>25</v>
      </c>
      <c r="AU152" s="4"/>
      <c r="AV152" s="4"/>
      <c r="AW152" s="4"/>
      <c r="AX152" s="4"/>
      <c r="AY152" s="4"/>
    </row>
    <row r="153" spans="1:51" x14ac:dyDescent="0.2">
      <c r="A153" s="7"/>
      <c r="B153" s="63" t="s">
        <v>73</v>
      </c>
      <c r="C153" s="62"/>
      <c r="D153" s="62"/>
      <c r="E153" s="61">
        <f>+(E132*1000-X166*AVERAGE(E$113,E$114))/R166</f>
        <v>55.469333148003706</v>
      </c>
      <c r="F153" s="61"/>
      <c r="G153" s="61"/>
      <c r="H153" s="61">
        <f>+(H132*1000-W154*AVERAGE(H$113,H$114))/Q154</f>
        <v>55.252746268349185</v>
      </c>
      <c r="I153" s="61"/>
      <c r="J153" s="62"/>
      <c r="K153" s="62"/>
      <c r="L153" s="60"/>
      <c r="M153" s="60"/>
      <c r="P153" t="s">
        <v>14</v>
      </c>
      <c r="Q153" s="4">
        <f>T65</f>
        <v>24495.801499999998</v>
      </c>
      <c r="R153" s="4"/>
      <c r="T153" s="4">
        <f>T76</f>
        <v>30000.484699999997</v>
      </c>
      <c r="U153" s="4"/>
      <c r="W153" s="4">
        <f>+T153-Q153</f>
        <v>5504.6831999999995</v>
      </c>
      <c r="X153" s="4"/>
      <c r="Z153" s="121">
        <f>+H152*Q153/1000</f>
        <v>2236.9811228486624</v>
      </c>
      <c r="AA153" s="121"/>
      <c r="AX153" s="4"/>
    </row>
    <row r="154" spans="1:51" ht="15" x14ac:dyDescent="0.35">
      <c r="A154" s="7"/>
      <c r="C154" s="66"/>
      <c r="D154" s="66"/>
      <c r="E154" s="65"/>
      <c r="F154" s="65"/>
      <c r="G154" s="65"/>
      <c r="H154" s="65"/>
      <c r="I154" s="65"/>
      <c r="J154" s="66"/>
      <c r="K154" s="66"/>
      <c r="L154" s="66"/>
      <c r="M154" s="60"/>
      <c r="P154" t="s">
        <v>15</v>
      </c>
      <c r="Q154" s="4">
        <f>T66</f>
        <v>29455.198500000002</v>
      </c>
      <c r="R154" s="4"/>
      <c r="T154" s="4">
        <f>T77</f>
        <v>23950.515300000003</v>
      </c>
      <c r="U154" s="4"/>
      <c r="W154" s="4">
        <f>+T154-Q154</f>
        <v>-5504.6831999999995</v>
      </c>
      <c r="X154" s="4"/>
      <c r="Z154" s="69">
        <f>+H153*Q154/1000</f>
        <v>1627.4806090043596</v>
      </c>
      <c r="AA154" s="69"/>
      <c r="AX154" s="4"/>
    </row>
    <row r="155" spans="1:51" x14ac:dyDescent="0.2">
      <c r="A155" s="7"/>
      <c r="B155" s="23" t="s">
        <v>18</v>
      </c>
      <c r="C155" s="64"/>
      <c r="D155" s="64"/>
      <c r="E155" s="65">
        <f>+E134/SUM(E60:E64,E69:E71)*1000</f>
        <v>62.71804684487649</v>
      </c>
      <c r="F155" s="65">
        <f>+F134/SUM(F60:F64,F69:F71)*1000</f>
        <v>62.087976406675189</v>
      </c>
      <c r="G155" s="65">
        <f>+G134/SUM(G60:G64,G69:G71)*1000</f>
        <v>61.182657828743707</v>
      </c>
      <c r="H155" s="65">
        <f>+H134/SUM(H60:H64,H69:H71)*1000</f>
        <v>61.184564183880731</v>
      </c>
      <c r="I155" s="65">
        <f>+I134/SUM(I60:I64,I69:I71)*1000</f>
        <v>58.677081299204289</v>
      </c>
      <c r="J155" s="64"/>
      <c r="K155" s="64"/>
      <c r="L155" s="64"/>
      <c r="M155" s="66"/>
      <c r="Q155" s="4"/>
      <c r="R155" s="4"/>
      <c r="T155" s="4"/>
      <c r="U155" s="4"/>
      <c r="W155" s="4"/>
      <c r="X155" s="4"/>
      <c r="Z155" s="121">
        <f>+Z154+Z153</f>
        <v>3864.4617318530218</v>
      </c>
      <c r="AA155" s="121"/>
      <c r="AC155" s="3">
        <f>+H130</f>
        <v>3864.4617318530218</v>
      </c>
      <c r="AD155" s="3"/>
    </row>
    <row r="156" spans="1:51" x14ac:dyDescent="0.2">
      <c r="A156" s="7"/>
      <c r="B156" s="63" t="s">
        <v>72</v>
      </c>
      <c r="C156" s="62"/>
      <c r="D156" s="62"/>
      <c r="E156" s="61">
        <f>+(E135*1000-X170*AVERAGE(E$113,E$114))/R170</f>
        <v>66.872094287807784</v>
      </c>
      <c r="F156" s="61"/>
      <c r="G156" s="61"/>
      <c r="H156" s="61">
        <f>+(H135*1000-W157*AVERAGE(H$117,H$118))/Q157</f>
        <v>66.424947853075608</v>
      </c>
      <c r="I156" s="61"/>
      <c r="J156" s="62"/>
      <c r="K156" s="62"/>
      <c r="L156" s="60"/>
      <c r="M156" s="64"/>
      <c r="P156" s="10" t="s">
        <v>26</v>
      </c>
      <c r="Q156" s="4"/>
      <c r="R156" s="4"/>
      <c r="T156" s="4"/>
      <c r="U156" s="4"/>
      <c r="W156" s="4"/>
      <c r="X156" s="4"/>
      <c r="Z156" s="121"/>
      <c r="AA156" s="121"/>
      <c r="AC156" s="3"/>
      <c r="AU156" s="4"/>
      <c r="AV156" s="4"/>
      <c r="AW156" s="4"/>
      <c r="AX156" s="4"/>
      <c r="AY156" s="4"/>
    </row>
    <row r="157" spans="1:51" x14ac:dyDescent="0.2">
      <c r="A157" s="7"/>
      <c r="B157" s="63" t="s">
        <v>73</v>
      </c>
      <c r="C157" s="62"/>
      <c r="D157" s="62"/>
      <c r="E157" s="61">
        <f>+(E136*1000-X171*AVERAGE(E$113,E$114))/R171</f>
        <v>60.481472728715588</v>
      </c>
      <c r="F157" s="61"/>
      <c r="G157" s="61"/>
      <c r="H157" s="61">
        <f>+(H136*1000-W158*AVERAGE(H$117,H$118))/Q158</f>
        <v>57.218445940280077</v>
      </c>
      <c r="I157" s="61"/>
      <c r="J157" s="62"/>
      <c r="K157" s="62"/>
      <c r="L157" s="60"/>
      <c r="M157" s="60"/>
      <c r="P157" t="s">
        <v>14</v>
      </c>
      <c r="Q157" s="4">
        <f>T61</f>
        <v>48727.693200000002</v>
      </c>
      <c r="R157" s="4"/>
      <c r="T157" s="4">
        <f>T72</f>
        <v>59565.486000000004</v>
      </c>
      <c r="U157" s="4"/>
      <c r="W157" s="4">
        <f>+T157-Q157</f>
        <v>10837.792800000003</v>
      </c>
      <c r="X157" s="4"/>
      <c r="Z157" s="121">
        <f>+H156*Q157/1000</f>
        <v>3236.7344798106674</v>
      </c>
      <c r="AA157" s="121"/>
      <c r="AC157" s="3"/>
      <c r="AX157" s="4"/>
    </row>
    <row r="158" spans="1:51" ht="15" x14ac:dyDescent="0.35">
      <c r="A158" s="7"/>
      <c r="C158" s="119"/>
      <c r="D158" s="119"/>
      <c r="E158" s="120"/>
      <c r="F158" s="120"/>
      <c r="G158" s="120"/>
      <c r="H158" s="120"/>
      <c r="I158" s="120"/>
      <c r="J158" s="119"/>
      <c r="K158" s="119"/>
      <c r="L158" s="119"/>
      <c r="M158" s="60"/>
      <c r="P158" t="s">
        <v>15</v>
      </c>
      <c r="Q158" s="4">
        <f>T62</f>
        <v>64383.306799999998</v>
      </c>
      <c r="R158" s="4"/>
      <c r="T158" s="4">
        <f>T73</f>
        <v>53545.513999999996</v>
      </c>
      <c r="U158" s="4"/>
      <c r="W158" s="4">
        <f>+T158-Q158</f>
        <v>-10837.792800000003</v>
      </c>
      <c r="X158" s="4"/>
      <c r="Z158" s="69">
        <f>+H157*Q158/1000</f>
        <v>3683.9127595922669</v>
      </c>
      <c r="AA158" s="69"/>
      <c r="AC158" s="3"/>
      <c r="AX158" s="4"/>
    </row>
    <row r="159" spans="1:51" x14ac:dyDescent="0.2">
      <c r="A159" s="7"/>
      <c r="B159" t="s">
        <v>74</v>
      </c>
      <c r="C159" s="60"/>
      <c r="D159" s="60"/>
      <c r="E159" s="61">
        <f>(E151*SUM(E65:E68)+E155*SUM(E60:E64,E69:E71))/E72</f>
        <v>65.448316966564946</v>
      </c>
      <c r="F159" s="61">
        <f>(F151*SUM(F65:F68)+F155*SUM(F60:F64,F69:F71))/F72</f>
        <v>65.969386635092889</v>
      </c>
      <c r="G159" s="61">
        <f>(G151*SUM(G65:G68)+G155*SUM(G60:G64,G69:G71))/G72</f>
        <v>64.809262650648748</v>
      </c>
      <c r="H159" s="61">
        <f>(H151*SUM(H65:H68)+H155*SUM(H60:H64,H69:H71))/H72</f>
        <v>64.557523382073441</v>
      </c>
      <c r="I159" s="61">
        <f>(I151*SUM(I65:I68)+I155*SUM(I60:I64,I69:I71))/I72</f>
        <v>59.356135612591864</v>
      </c>
      <c r="J159" s="60"/>
      <c r="K159" s="60"/>
      <c r="L159" s="60"/>
      <c r="M159" s="119"/>
      <c r="Z159" s="121">
        <f>+Z158+Z157</f>
        <v>6920.6472394029342</v>
      </c>
      <c r="AA159" s="121"/>
      <c r="AC159" s="3">
        <f>+H134</f>
        <v>6920.6472394029333</v>
      </c>
      <c r="AD159" s="3"/>
    </row>
    <row r="160" spans="1:51" x14ac:dyDescent="0.2">
      <c r="A160" s="7"/>
      <c r="B160" t="s">
        <v>75</v>
      </c>
      <c r="C160" s="60">
        <f>+C140/SUM(C72:I72)*1000</f>
        <v>65.475446190688686</v>
      </c>
      <c r="M160" s="60"/>
      <c r="AU160" s="4"/>
      <c r="AV160" s="4"/>
      <c r="AW160" s="4"/>
      <c r="AX160" s="4"/>
      <c r="AY160" s="4"/>
    </row>
    <row r="161" spans="1:51" x14ac:dyDescent="0.2">
      <c r="A161" s="7"/>
    </row>
    <row r="162" spans="1:51" x14ac:dyDescent="0.2">
      <c r="A162" s="6" t="s">
        <v>76</v>
      </c>
      <c r="B162" s="1" t="s">
        <v>139</v>
      </c>
      <c r="Q162" s="2" t="str">
        <f>+$E149</f>
        <v>RT{1}</v>
      </c>
      <c r="R162" s="2"/>
      <c r="S162" s="2"/>
      <c r="T162" s="2" t="str">
        <f>+$E149</f>
        <v>RT{1}</v>
      </c>
      <c r="U162" s="2"/>
      <c r="V162" s="2"/>
      <c r="W162" s="2" t="str">
        <f>+$E149</f>
        <v>RT{1}</v>
      </c>
      <c r="X162" s="2"/>
      <c r="Z162" s="2" t="str">
        <f>+$E149</f>
        <v>RT{1}</v>
      </c>
      <c r="AA162" s="2"/>
      <c r="AC162" s="2" t="str">
        <f>+$E149</f>
        <v>RT{1}</v>
      </c>
    </row>
    <row r="163" spans="1:51" x14ac:dyDescent="0.2">
      <c r="A163" s="7"/>
      <c r="B163" s="15" t="str">
        <f>'BGS PTY25 Cost Alloc'!$B$161</f>
        <v>obligations - annual average forecasted for 2026; costs are market estimates</v>
      </c>
      <c r="J163" s="2" t="s">
        <v>299</v>
      </c>
    </row>
    <row r="164" spans="1:51" x14ac:dyDescent="0.2">
      <c r="A164" s="7"/>
      <c r="B164" s="15" t="s">
        <v>77</v>
      </c>
      <c r="C164" s="2"/>
      <c r="D164" s="2"/>
      <c r="E164" s="2" t="str">
        <f>+E$13</f>
        <v>RT{1}</v>
      </c>
      <c r="F164" s="2" t="str">
        <f>+F$13</f>
        <v>RS{2}</v>
      </c>
      <c r="G164" s="2" t="str">
        <f>+G$13</f>
        <v>GS{3}</v>
      </c>
      <c r="H164" s="2" t="str">
        <f>+H$58</f>
        <v>GST {4}</v>
      </c>
      <c r="I164" s="2" t="str">
        <f>+I$13</f>
        <v>OL/SL</v>
      </c>
      <c r="J164" s="2" t="s">
        <v>165</v>
      </c>
      <c r="K164" s="2"/>
      <c r="L164" s="2"/>
      <c r="P164" s="10" t="s">
        <v>25</v>
      </c>
      <c r="Q164" s="8" t="s">
        <v>196</v>
      </c>
      <c r="R164" s="8" t="s">
        <v>192</v>
      </c>
      <c r="T164" s="8" t="s">
        <v>196</v>
      </c>
      <c r="U164" s="8" t="s">
        <v>192</v>
      </c>
      <c r="W164" s="8" t="s">
        <v>196</v>
      </c>
      <c r="X164" s="8" t="s">
        <v>192</v>
      </c>
      <c r="Z164" s="8" t="s">
        <v>197</v>
      </c>
      <c r="AC164" s="8" t="s">
        <v>197</v>
      </c>
    </row>
    <row r="165" spans="1:51" x14ac:dyDescent="0.2">
      <c r="A165" s="7"/>
      <c r="P165" t="s">
        <v>14</v>
      </c>
      <c r="Q165" s="4">
        <f>SUMPRODUCT(E38:E41,M65:M68)</f>
        <v>23323.231899999999</v>
      </c>
      <c r="R165" s="4">
        <f>SUMPRODUCT(E38:E41,E65:E68)</f>
        <v>24291.489399999999</v>
      </c>
      <c r="T165" s="4">
        <f>Q76</f>
        <v>30539.264900000002</v>
      </c>
      <c r="U165" s="4">
        <f>T165-($Q$167*$Q165/($Q$165+$Q$166))</f>
        <v>29572.444211930546</v>
      </c>
      <c r="W165" s="4">
        <f>+T165-Q165</f>
        <v>7216.0330000000031</v>
      </c>
      <c r="X165" s="4">
        <f>-Q165+U165</f>
        <v>6249.212311930547</v>
      </c>
      <c r="Z165" s="121">
        <f>+E152*Q165/1000</f>
        <v>2166.5083269123397</v>
      </c>
      <c r="AA165" s="121"/>
      <c r="AU165" s="66"/>
      <c r="AV165" s="66"/>
      <c r="AW165" s="66"/>
      <c r="AX165" s="66"/>
      <c r="AY165" s="66"/>
    </row>
    <row r="166" spans="1:51" ht="15" x14ac:dyDescent="0.35">
      <c r="A166" s="7"/>
      <c r="B166" t="s">
        <v>78</v>
      </c>
      <c r="C166" s="71"/>
      <c r="D166" s="71"/>
      <c r="E166" s="71">
        <f>'BGS PTY25 Cost Alloc'!E164</f>
        <v>42.612122937225493</v>
      </c>
      <c r="F166" s="71">
        <f>'BGS PTY25 Cost Alloc'!F164</f>
        <v>3399.2322582823581</v>
      </c>
      <c r="G166" s="71">
        <f>'BGS PTY25 Cost Alloc'!G164</f>
        <v>1128.1962454019545</v>
      </c>
      <c r="H166" s="71">
        <f>'BGS PTY25 Cost Alloc'!H164</f>
        <v>24.219541986131997</v>
      </c>
      <c r="I166" s="71">
        <f>'BGS PTY25 Cost Alloc'!I164</f>
        <v>2.9485309090967301E-2</v>
      </c>
      <c r="J166" s="71">
        <f>SUM(E166:I166)</f>
        <v>4594.2896539167605</v>
      </c>
      <c r="K166" s="71"/>
      <c r="L166" s="71"/>
      <c r="M166" s="2"/>
      <c r="P166" t="s">
        <v>15</v>
      </c>
      <c r="Q166" s="4">
        <f>SUMPRODUCT(Q38:Q41,M65:M68)</f>
        <v>33873.768100000001</v>
      </c>
      <c r="R166" s="4">
        <f>SUMPRODUCT(Q38:Q41,E65:E68)</f>
        <v>35276.510600000001</v>
      </c>
      <c r="T166" s="4">
        <f>Q77</f>
        <v>29028.735099999998</v>
      </c>
      <c r="U166" s="4">
        <f>T166-($Q$167*$Q166/($Q$165+$Q$166))</f>
        <v>27624.561788069452</v>
      </c>
      <c r="W166" s="4">
        <f>+T166-Q166</f>
        <v>-4845.0330000000031</v>
      </c>
      <c r="X166" s="4">
        <f>-Q166+U166</f>
        <v>-6249.2063119305494</v>
      </c>
      <c r="Z166" s="121">
        <f>+E153*Q166/1000</f>
        <v>1878.9553277171206</v>
      </c>
      <c r="AA166" s="69"/>
      <c r="AU166" s="66"/>
      <c r="AV166" s="66"/>
      <c r="AW166" s="66"/>
      <c r="AX166" s="66"/>
      <c r="AY166" s="66"/>
    </row>
    <row r="167" spans="1:51" ht="15" x14ac:dyDescent="0.35">
      <c r="A167" s="7"/>
      <c r="P167" t="s">
        <v>191</v>
      </c>
      <c r="Q167" s="4">
        <f>SUM(W65:W68)/1000</f>
        <v>2370.9940000000001</v>
      </c>
      <c r="R167" s="4"/>
      <c r="T167" s="4">
        <v>0</v>
      </c>
      <c r="U167" s="4">
        <v>0</v>
      </c>
      <c r="W167" s="4">
        <f>+T167-Q167</f>
        <v>-2370.9940000000001</v>
      </c>
      <c r="X167" s="4"/>
      <c r="Z167" s="69">
        <f>+E151*Q167/1000</f>
        <v>167.69923617543697</v>
      </c>
      <c r="AU167" s="66"/>
      <c r="AV167" s="66"/>
      <c r="AW167" s="66"/>
      <c r="AX167" s="66"/>
      <c r="AY167" s="66"/>
    </row>
    <row r="168" spans="1:51" x14ac:dyDescent="0.2">
      <c r="A168" s="7"/>
      <c r="B168" t="s">
        <v>79</v>
      </c>
      <c r="C168" s="72" t="s">
        <v>80</v>
      </c>
      <c r="D168" s="70"/>
      <c r="E168" s="56"/>
      <c r="F168" s="56"/>
      <c r="G168" s="56"/>
      <c r="H168" s="56"/>
      <c r="I168" s="56"/>
      <c r="J168" s="70"/>
      <c r="K168" s="70"/>
      <c r="L168" s="70"/>
      <c r="M168" s="71"/>
      <c r="Z168" s="121">
        <f>SUM(Z165:Z167)</f>
        <v>4213.1628908048979</v>
      </c>
      <c r="AA168" s="121"/>
      <c r="AC168" s="3">
        <f>+E130</f>
        <v>4213.215259295649</v>
      </c>
      <c r="AU168" s="66"/>
      <c r="AV168" s="66"/>
      <c r="AW168" s="66"/>
      <c r="AX168" s="66"/>
      <c r="AY168" s="66"/>
    </row>
    <row r="169" spans="1:51" x14ac:dyDescent="0.2">
      <c r="A169" s="7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P169" s="10" t="s">
        <v>26</v>
      </c>
      <c r="Q169" s="4"/>
      <c r="R169" s="4"/>
      <c r="T169" s="4"/>
      <c r="U169" s="4"/>
      <c r="W169" s="4"/>
      <c r="X169" s="4"/>
      <c r="AU169" s="66"/>
      <c r="AV169" s="66"/>
      <c r="AW169" s="66"/>
      <c r="AX169" s="66"/>
      <c r="AY169" s="66"/>
    </row>
    <row r="170" spans="1:51" x14ac:dyDescent="0.2">
      <c r="A170" s="7"/>
      <c r="B170" t="s">
        <v>81</v>
      </c>
      <c r="I170" s="70"/>
      <c r="J170" s="70"/>
      <c r="K170" s="70"/>
      <c r="L170" s="70"/>
      <c r="M170" s="70"/>
      <c r="P170" t="s">
        <v>14</v>
      </c>
      <c r="Q170" s="4">
        <f>SUMPRODUCT(E33:E37,M60:M64)+SUMPRODUCT(E42:E44,M69:M71)</f>
        <v>38323.476999999999</v>
      </c>
      <c r="R170" s="4">
        <f>SUMPRODUCT(E33:E37,E60:E64)+SUMPRODUCT(E42:E44,E69:E71)</f>
        <v>40329.224700000006</v>
      </c>
      <c r="T170" s="4">
        <f>Q72</f>
        <v>54775.6587</v>
      </c>
      <c r="U170" s="4">
        <f>T170-($Q$172*$Q170/($Q$170+$Q$171))</f>
        <v>52784.350093965833</v>
      </c>
      <c r="W170" s="4">
        <f>+T170-Q170</f>
        <v>16452.181700000001</v>
      </c>
      <c r="X170" s="4">
        <f>-Q170+U170</f>
        <v>14460.873093965834</v>
      </c>
      <c r="Z170" s="121">
        <f>+E156*Q170/1000</f>
        <v>2562.771167380633</v>
      </c>
      <c r="AA170" s="121"/>
      <c r="AC170" s="3"/>
      <c r="AU170" s="66"/>
      <c r="AV170" s="66"/>
      <c r="AW170" s="66"/>
      <c r="AX170" s="66"/>
      <c r="AY170" s="66"/>
    </row>
    <row r="171" spans="1:51" ht="15" x14ac:dyDescent="0.35">
      <c r="A171" s="7"/>
      <c r="D171" s="73" t="s">
        <v>82</v>
      </c>
      <c r="E171" s="113">
        <v>122</v>
      </c>
      <c r="G171" s="73" t="s">
        <v>83</v>
      </c>
      <c r="H171" s="74">
        <v>4</v>
      </c>
      <c r="I171" s="70"/>
      <c r="J171" s="70"/>
      <c r="K171" s="70"/>
      <c r="L171" s="70"/>
      <c r="M171" s="70"/>
      <c r="P171" t="s">
        <v>15</v>
      </c>
      <c r="Q171" s="4">
        <f>SUMPRODUCT(Q33:Q37,M60:M64)+SUMPRODUCT(Q42:Q44,M69:M71)</f>
        <v>71208.523000000001</v>
      </c>
      <c r="R171" s="4">
        <f>SUMPRODUCT(Q33:Q37,E60:E64)+SUMPRODUCT(Q42:Q44,E69:E71)</f>
        <v>74893.775299999994</v>
      </c>
      <c r="T171" s="4">
        <f>Q73</f>
        <v>60447.3413</v>
      </c>
      <c r="U171" s="4">
        <f>T171-($Q$172*$Q171/($Q$170+$Q$171))</f>
        <v>56747.307906034162</v>
      </c>
      <c r="W171" s="4">
        <f>+T171-Q171</f>
        <v>-10761.181700000001</v>
      </c>
      <c r="X171" s="4">
        <f>-Q171+U171</f>
        <v>-14461.215093965839</v>
      </c>
      <c r="Z171" s="121">
        <f>+E157*Q171/1000</f>
        <v>4306.7963418766167</v>
      </c>
      <c r="AA171" s="69"/>
      <c r="AC171" s="3"/>
      <c r="AU171" s="66"/>
      <c r="AV171" s="66"/>
      <c r="AW171" s="66"/>
      <c r="AX171" s="66"/>
      <c r="AY171" s="66"/>
    </row>
    <row r="172" spans="1:51" ht="15" x14ac:dyDescent="0.35">
      <c r="A172" s="7"/>
      <c r="D172" s="75" t="s">
        <v>84</v>
      </c>
      <c r="E172" s="74">
        <v>244</v>
      </c>
      <c r="G172" s="75" t="s">
        <v>85</v>
      </c>
      <c r="H172" s="74">
        <v>8</v>
      </c>
      <c r="I172" s="70"/>
      <c r="J172" s="70"/>
      <c r="K172" s="70"/>
      <c r="L172" s="70"/>
      <c r="M172" s="70"/>
      <c r="P172" t="s">
        <v>191</v>
      </c>
      <c r="Q172" s="4">
        <f>SUM(W60:W64,W69:W71)/1000</f>
        <v>5691.3419999999996</v>
      </c>
      <c r="T172">
        <v>0</v>
      </c>
      <c r="U172" s="4">
        <v>0</v>
      </c>
      <c r="W172" s="4">
        <f>+T172-Q172</f>
        <v>-5691.3419999999996</v>
      </c>
      <c r="X172" s="4"/>
      <c r="Z172" s="69">
        <f>+E155*Q172/1000</f>
        <v>356.94985416621302</v>
      </c>
      <c r="AU172" s="66"/>
      <c r="AV172" s="66"/>
      <c r="AW172" s="66"/>
      <c r="AX172" s="66"/>
      <c r="AY172" s="66"/>
    </row>
    <row r="173" spans="1:51" x14ac:dyDescent="0.2">
      <c r="A173" s="7"/>
      <c r="G173" s="73" t="s">
        <v>86</v>
      </c>
      <c r="H173">
        <f>+H171+H172</f>
        <v>12</v>
      </c>
      <c r="I173" s="70"/>
      <c r="J173" s="70"/>
      <c r="K173" s="70"/>
      <c r="L173" s="70"/>
      <c r="M173" s="70"/>
      <c r="Q173" s="2"/>
      <c r="R173" s="2"/>
      <c r="S173" s="2"/>
      <c r="T173" s="2"/>
      <c r="U173" s="2"/>
      <c r="V173" s="2"/>
      <c r="W173" s="2"/>
      <c r="X173" s="2"/>
      <c r="Z173" s="121">
        <f>SUM(Z170:Z172)</f>
        <v>7226.5173634234625</v>
      </c>
      <c r="AA173" s="121"/>
      <c r="AC173" s="3">
        <f>+E134</f>
        <v>7226.561511607204</v>
      </c>
      <c r="AU173" s="3"/>
      <c r="AV173" s="3"/>
      <c r="AW173" s="3"/>
      <c r="AX173" s="3"/>
      <c r="AY173" s="3"/>
    </row>
    <row r="174" spans="1:51" ht="15" x14ac:dyDescent="0.35">
      <c r="A174" s="7"/>
      <c r="B174" s="18" t="s">
        <v>158</v>
      </c>
      <c r="C174" s="76"/>
      <c r="D174" s="77"/>
      <c r="K174" s="78"/>
      <c r="M174" s="70"/>
      <c r="Q174" s="4"/>
      <c r="R174" s="4"/>
      <c r="T174" s="4"/>
      <c r="U174" s="4"/>
      <c r="W174" s="4"/>
      <c r="X174" s="4"/>
      <c r="Z174" s="69"/>
      <c r="AA174" s="69"/>
      <c r="AX174" s="3"/>
    </row>
    <row r="175" spans="1:51" x14ac:dyDescent="0.2">
      <c r="A175" s="7"/>
      <c r="B175" s="257"/>
      <c r="C175" s="76"/>
      <c r="D175" s="304"/>
      <c r="E175" s="77"/>
      <c r="G175" s="289"/>
      <c r="H175" s="68"/>
      <c r="K175" s="78"/>
      <c r="M175" s="70"/>
      <c r="Q175" s="4"/>
      <c r="R175" s="4"/>
      <c r="T175" s="4"/>
      <c r="U175" s="4"/>
      <c r="W175" s="4"/>
      <c r="X175" s="4"/>
      <c r="Z175" s="121"/>
      <c r="AA175" s="121"/>
      <c r="AC175" s="3">
        <f>SUM(AC168:AC173)</f>
        <v>11439.776770902852</v>
      </c>
    </row>
    <row r="176" spans="1:51" x14ac:dyDescent="0.2">
      <c r="A176" s="7"/>
      <c r="D176" s="8" t="s">
        <v>221</v>
      </c>
      <c r="E176" s="8" t="s">
        <v>218</v>
      </c>
      <c r="Q176" s="4"/>
      <c r="R176" s="4"/>
      <c r="T176" s="4"/>
      <c r="U176" s="4"/>
      <c r="W176" s="4"/>
      <c r="X176" s="4"/>
      <c r="Z176" s="121"/>
      <c r="AA176" s="121"/>
      <c r="AC176" s="3"/>
    </row>
    <row r="177" spans="1:50" x14ac:dyDescent="0.2">
      <c r="A177" s="7"/>
      <c r="B177" s="18" t="s">
        <v>87</v>
      </c>
      <c r="C177" t="s">
        <v>25</v>
      </c>
      <c r="D177" s="11">
        <v>329.43</v>
      </c>
      <c r="E177" s="138">
        <f>ROUND(D177*$H$307,3)</f>
        <v>352.33699999999999</v>
      </c>
      <c r="F177" s="77" t="s">
        <v>88</v>
      </c>
      <c r="G177" s="73" t="s">
        <v>162</v>
      </c>
      <c r="H177" s="3">
        <f>ROUND(E177*E171*J$166,0)</f>
        <v>197486065</v>
      </c>
      <c r="I177" s="73"/>
      <c r="J177" s="73"/>
      <c r="K177" s="119"/>
      <c r="Q177" s="4"/>
      <c r="R177" s="4"/>
      <c r="T177" s="4"/>
      <c r="U177" s="4"/>
      <c r="W177" s="4"/>
      <c r="X177" s="4"/>
      <c r="Z177" s="121"/>
      <c r="AA177" s="121"/>
      <c r="AC177" s="3"/>
    </row>
    <row r="178" spans="1:50" ht="15" x14ac:dyDescent="0.35">
      <c r="A178" s="7"/>
      <c r="B178" s="18"/>
      <c r="C178" t="s">
        <v>26</v>
      </c>
      <c r="D178" s="11">
        <v>329.43</v>
      </c>
      <c r="E178" s="138">
        <f>ROUND(D178*$H$307,3)</f>
        <v>352.33699999999999</v>
      </c>
      <c r="F178" s="77" t="s">
        <v>88</v>
      </c>
      <c r="G178" s="103" t="s">
        <v>163</v>
      </c>
      <c r="H178" s="104">
        <f>ROUND(E178*E172*J$166,0)</f>
        <v>394972129</v>
      </c>
      <c r="I178" s="73"/>
      <c r="J178" s="73"/>
      <c r="K178" s="119"/>
      <c r="Q178" s="4"/>
      <c r="R178" s="4"/>
      <c r="T178" s="4"/>
      <c r="U178" s="4"/>
      <c r="W178" s="4"/>
      <c r="X178" s="4"/>
      <c r="Z178" s="121"/>
      <c r="AA178" s="121"/>
      <c r="AC178" s="3"/>
    </row>
    <row r="179" spans="1:50" ht="15" x14ac:dyDescent="0.35">
      <c r="A179" s="7"/>
      <c r="B179" s="318"/>
      <c r="C179" s="318"/>
      <c r="D179" s="318"/>
      <c r="E179" s="318"/>
      <c r="F179" s="318"/>
      <c r="G179" s="73" t="s">
        <v>164</v>
      </c>
      <c r="H179" s="3">
        <f>SUM(H177:H178)</f>
        <v>592458194</v>
      </c>
      <c r="I179" s="73"/>
      <c r="J179" s="356">
        <f>H179/(C291*1000)</f>
        <v>0.29392794568275232</v>
      </c>
      <c r="K179" s="119"/>
      <c r="Q179" s="4"/>
      <c r="R179" s="4"/>
      <c r="T179" s="4"/>
      <c r="U179" s="4"/>
      <c r="W179" s="4"/>
      <c r="X179" s="4"/>
      <c r="Z179" s="69"/>
      <c r="AA179" s="69"/>
      <c r="AC179" s="3"/>
    </row>
    <row r="180" spans="1:50" x14ac:dyDescent="0.2">
      <c r="A180" s="7"/>
      <c r="B180" s="318"/>
      <c r="C180" s="318"/>
      <c r="D180" s="318"/>
      <c r="E180" s="318"/>
      <c r="F180" s="318"/>
      <c r="G180" s="73"/>
      <c r="H180" s="3"/>
      <c r="I180" s="73"/>
      <c r="J180" s="73"/>
      <c r="K180" s="119"/>
      <c r="Z180" s="121"/>
      <c r="AA180" s="121"/>
      <c r="AC180" s="3"/>
    </row>
    <row r="181" spans="1:50" x14ac:dyDescent="0.2">
      <c r="A181" s="7"/>
      <c r="B181" t="s">
        <v>153</v>
      </c>
      <c r="I181" s="73"/>
      <c r="J181" s="73"/>
      <c r="K181" s="119"/>
    </row>
    <row r="182" spans="1:50" x14ac:dyDescent="0.2">
      <c r="A182" s="7"/>
      <c r="B182" s="15" t="s">
        <v>154</v>
      </c>
      <c r="I182" s="73"/>
      <c r="J182" s="73"/>
      <c r="K182" s="119"/>
    </row>
    <row r="183" spans="1:50" x14ac:dyDescent="0.2">
      <c r="A183" s="7"/>
      <c r="B183" s="15"/>
      <c r="C183" s="88" t="str">
        <f>" ---------- Rate "&amp;C30&amp;" ----------"</f>
        <v xml:space="preserve"> ---------- Rate  ----------</v>
      </c>
      <c r="D183" s="89"/>
      <c r="E183" s="89"/>
      <c r="I183" s="73"/>
      <c r="J183" s="73"/>
      <c r="K183" s="119"/>
    </row>
    <row r="184" spans="1:50" x14ac:dyDescent="0.2">
      <c r="A184" s="7"/>
      <c r="C184" s="8" t="s">
        <v>140</v>
      </c>
      <c r="E184" s="8" t="s">
        <v>141</v>
      </c>
      <c r="I184" s="73"/>
      <c r="J184" s="73"/>
      <c r="K184" s="119"/>
    </row>
    <row r="185" spans="1:50" x14ac:dyDescent="0.2">
      <c r="A185" s="7"/>
      <c r="B185" s="73" t="s">
        <v>142</v>
      </c>
      <c r="C185" s="90"/>
      <c r="E185" s="99">
        <f>SUM(R65/(R65+R66))</f>
        <v>0.5017443036278828</v>
      </c>
      <c r="F185" s="95"/>
      <c r="I185" s="73"/>
      <c r="J185" s="73"/>
      <c r="K185" s="119"/>
    </row>
    <row r="186" spans="1:50" x14ac:dyDescent="0.2">
      <c r="A186" s="7"/>
      <c r="B186" s="73" t="s">
        <v>144</v>
      </c>
      <c r="C186" s="91"/>
      <c r="E186" s="92">
        <f>1-E185</f>
        <v>0.4982556963721172</v>
      </c>
      <c r="G186" s="4"/>
      <c r="I186" s="73"/>
      <c r="J186" s="73"/>
      <c r="K186" s="119"/>
    </row>
    <row r="187" spans="1:50" x14ac:dyDescent="0.2">
      <c r="A187" s="7"/>
      <c r="B187" s="93" t="s">
        <v>155</v>
      </c>
      <c r="C187" s="94">
        <v>0.86519999999999997</v>
      </c>
      <c r="D187" t="s">
        <v>143</v>
      </c>
      <c r="J187" s="73"/>
      <c r="K187" s="119"/>
      <c r="AX187" s="99"/>
    </row>
    <row r="188" spans="1:50" x14ac:dyDescent="0.2">
      <c r="A188"/>
      <c r="J188" s="73"/>
      <c r="K188" s="119"/>
    </row>
    <row r="189" spans="1:50" x14ac:dyDescent="0.2">
      <c r="A189" s="6" t="s">
        <v>89</v>
      </c>
      <c r="B189" s="1" t="s">
        <v>90</v>
      </c>
      <c r="D189" s="8" t="s">
        <v>221</v>
      </c>
      <c r="E189" s="8" t="s">
        <v>218</v>
      </c>
    </row>
    <row r="190" spans="1:50" x14ac:dyDescent="0.2">
      <c r="A190" s="7"/>
      <c r="B190" s="15" t="s">
        <v>307</v>
      </c>
      <c r="D190" s="307">
        <v>2</v>
      </c>
    </row>
    <row r="191" spans="1:50" x14ac:dyDescent="0.2">
      <c r="A191" s="7"/>
      <c r="B191" s="15" t="s">
        <v>310</v>
      </c>
      <c r="D191" s="308">
        <v>18.02</v>
      </c>
      <c r="F191" s="77"/>
    </row>
    <row r="192" spans="1:50" x14ac:dyDescent="0.2">
      <c r="A192" s="7"/>
      <c r="B192" s="15" t="s">
        <v>91</v>
      </c>
      <c r="D192" s="305">
        <f>D190+D191</f>
        <v>20.02</v>
      </c>
      <c r="E192" s="138">
        <f>ROUND(D192*$H$307,3)</f>
        <v>21.411999999999999</v>
      </c>
      <c r="F192" t="s">
        <v>92</v>
      </c>
    </row>
    <row r="193" spans="1:13" x14ac:dyDescent="0.2">
      <c r="A193" s="7"/>
      <c r="B193" s="15"/>
      <c r="E193" s="76"/>
      <c r="F193" s="77"/>
    </row>
    <row r="194" spans="1:13" x14ac:dyDescent="0.2">
      <c r="A194" s="6" t="s">
        <v>93</v>
      </c>
      <c r="B194" s="1" t="s">
        <v>167</v>
      </c>
    </row>
    <row r="195" spans="1:13" x14ac:dyDescent="0.2">
      <c r="A195" s="6"/>
      <c r="B195" s="1"/>
    </row>
    <row r="196" spans="1:13" x14ac:dyDescent="0.2">
      <c r="A196" s="6"/>
      <c r="B196" s="1"/>
      <c r="C196" s="2"/>
      <c r="D196" s="2"/>
      <c r="E196" s="2" t="str">
        <f>+E$13</f>
        <v>RT{1}</v>
      </c>
      <c r="F196" s="2" t="str">
        <f>+F$13</f>
        <v>RS{2}</v>
      </c>
      <c r="G196" s="2" t="str">
        <f>+G$13</f>
        <v>GS{3}</v>
      </c>
      <c r="H196" s="132" t="str">
        <f>+H$58</f>
        <v>GST {4}</v>
      </c>
      <c r="I196" s="2" t="str">
        <f>+I$13</f>
        <v>OL/SL</v>
      </c>
      <c r="J196" s="2"/>
    </row>
    <row r="197" spans="1:13" x14ac:dyDescent="0.2">
      <c r="A197" s="6"/>
      <c r="B197" s="1"/>
    </row>
    <row r="198" spans="1:13" x14ac:dyDescent="0.2">
      <c r="A198" s="7"/>
      <c r="B198" s="73" t="s">
        <v>94</v>
      </c>
      <c r="C198" s="122"/>
      <c r="D198" s="122"/>
      <c r="E198" s="123">
        <v>0</v>
      </c>
      <c r="F198" s="123">
        <v>0</v>
      </c>
      <c r="G198" s="123">
        <v>0</v>
      </c>
      <c r="H198" s="123">
        <v>0</v>
      </c>
      <c r="I198" s="123">
        <v>0</v>
      </c>
      <c r="J198" s="122"/>
      <c r="K198" s="122" t="s">
        <v>251</v>
      </c>
      <c r="L198" s="122"/>
    </row>
    <row r="199" spans="1:13" x14ac:dyDescent="0.2">
      <c r="A199" s="7"/>
      <c r="B199" s="73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</row>
    <row r="200" spans="1:13" x14ac:dyDescent="0.2">
      <c r="A200" s="7"/>
      <c r="B200" s="73" t="s">
        <v>131</v>
      </c>
      <c r="C200" s="122"/>
      <c r="D200" s="122"/>
      <c r="E200" s="123">
        <f>$H$179*(E$166/$J$166)/E$72</f>
        <v>31.437893774414682</v>
      </c>
      <c r="F200" s="123">
        <f>$H$179*(F$166/$J$166)/F$72</f>
        <v>45.431581546911133</v>
      </c>
      <c r="G200" s="123">
        <f>$H$179*(G$166/$J$166)/G$72</f>
        <v>25.059676285170308</v>
      </c>
      <c r="H200" s="123">
        <f>$H$179*(H$166/$J$166)/H$72</f>
        <v>18.695091176826026</v>
      </c>
      <c r="I200" s="123">
        <f>$H$179*(I$166/$J$166)/I$72</f>
        <v>3.1437638970578455E-2</v>
      </c>
      <c r="J200" s="122"/>
      <c r="K200" s="122"/>
      <c r="L200" s="122"/>
      <c r="M200" s="259"/>
    </row>
    <row r="201" spans="1:13" x14ac:dyDescent="0.2">
      <c r="A201" s="7"/>
      <c r="B201" s="73" t="s">
        <v>198</v>
      </c>
      <c r="C201" s="122"/>
      <c r="D201" s="122"/>
      <c r="E201" s="123">
        <f>$H$177*(E$166/$J$166)/SUM(E65:E68)</f>
        <v>30.749512601837313</v>
      </c>
      <c r="F201" s="123">
        <f>$H$177*(F$166/$J$166)/SUM(F65:F68)</f>
        <v>36.205904614444229</v>
      </c>
      <c r="G201" s="123">
        <f>$H$177*(G$166/$J$166)/SUM(G65:G68)</f>
        <v>23.186240164182738</v>
      </c>
      <c r="H201" s="123"/>
      <c r="I201" s="123">
        <f>$H$177*(I$166/$J$166)/SUM(I65:I68)</f>
        <v>3.1429583287807442E-2</v>
      </c>
      <c r="J201" s="122"/>
      <c r="K201" s="122"/>
      <c r="L201" s="122"/>
      <c r="M201" s="259"/>
    </row>
    <row r="202" spans="1:13" x14ac:dyDescent="0.2">
      <c r="A202" s="7"/>
      <c r="B202" s="73" t="s">
        <v>199</v>
      </c>
      <c r="C202" s="122"/>
      <c r="D202" s="122"/>
      <c r="E202" s="123">
        <f>$H$177*(E$166/$J$166)/R165</f>
        <v>75.404473414719689</v>
      </c>
      <c r="F202" s="123"/>
      <c r="G202" s="123"/>
      <c r="H202" s="123">
        <f>$H$177*(H$166/$J$166)/Q153</f>
        <v>42.500335243906612</v>
      </c>
      <c r="I202" s="123"/>
      <c r="J202" s="122"/>
      <c r="K202" s="122"/>
      <c r="L202" s="122"/>
      <c r="M202" s="122"/>
    </row>
    <row r="203" spans="1:13" x14ac:dyDescent="0.2">
      <c r="A203" s="7"/>
      <c r="B203" s="73" t="s">
        <v>201</v>
      </c>
      <c r="C203" s="122"/>
      <c r="D203" s="122"/>
      <c r="E203" s="123">
        <f>$H$178*(E$166/$J$166)/(E72-SUM(E65:E68))</f>
        <v>31.793773153428322</v>
      </c>
      <c r="F203" s="123">
        <f>$H$178*(F$166/$J$166)/(F72-SUM(F65:F68))</f>
        <v>52.064953140739277</v>
      </c>
      <c r="G203" s="123">
        <f>$H$178*(G$166/$J$166)/(G72-SUM(G65:G68))</f>
        <v>26.11470350413645</v>
      </c>
      <c r="H203" s="123"/>
      <c r="I203" s="123">
        <f>$H$178*(I$166/$J$166)/(I72-SUM(I65:I68))</f>
        <v>3.1441668360730202E-2</v>
      </c>
      <c r="J203" s="122"/>
      <c r="K203" s="122"/>
      <c r="L203" s="122"/>
      <c r="M203" s="122"/>
    </row>
    <row r="204" spans="1:13" x14ac:dyDescent="0.2">
      <c r="A204" s="7"/>
      <c r="B204" s="73" t="s">
        <v>200</v>
      </c>
      <c r="C204" s="122"/>
      <c r="D204" s="122"/>
      <c r="E204" s="123">
        <f>$H$178*(E$166/$J$166)/R170</f>
        <v>90.836705920048871</v>
      </c>
      <c r="F204" s="124"/>
      <c r="G204" s="124"/>
      <c r="H204" s="123">
        <f>$H$178*(H$166/$J$166)/Q157</f>
        <v>42.73051748660901</v>
      </c>
      <c r="I204" s="123"/>
      <c r="J204" s="122"/>
      <c r="K204" s="122"/>
      <c r="L204" s="122"/>
      <c r="M204" s="122"/>
    </row>
    <row r="205" spans="1:13" x14ac:dyDescent="0.2">
      <c r="A205" s="7"/>
      <c r="B205" s="73"/>
      <c r="C205" s="122"/>
      <c r="D205" s="122"/>
      <c r="E205" s="123"/>
      <c r="F205" s="123"/>
      <c r="G205" s="123"/>
      <c r="H205" s="123"/>
      <c r="I205" s="123"/>
      <c r="J205" s="122"/>
      <c r="K205" s="122"/>
      <c r="L205" s="122"/>
      <c r="M205" s="122"/>
    </row>
    <row r="206" spans="1:13" ht="15.75" x14ac:dyDescent="0.25">
      <c r="A206" s="7"/>
      <c r="B206" s="504" t="str">
        <f>$B$1</f>
        <v xml:space="preserve">Jersey Central Power &amp; Light </v>
      </c>
      <c r="C206" s="504"/>
      <c r="D206" s="504"/>
      <c r="E206" s="504"/>
      <c r="F206" s="504"/>
      <c r="G206" s="504"/>
      <c r="H206" s="504"/>
      <c r="I206" s="504"/>
      <c r="J206" s="504"/>
      <c r="K206" s="504"/>
      <c r="L206" s="504"/>
      <c r="M206" s="122"/>
    </row>
    <row r="207" spans="1:13" ht="15.75" x14ac:dyDescent="0.25">
      <c r="A207" s="7"/>
      <c r="B207" s="504" t="str">
        <f>$B$2</f>
        <v>Attachment 2</v>
      </c>
      <c r="C207" s="504"/>
      <c r="D207" s="504"/>
      <c r="E207" s="504"/>
      <c r="F207" s="504"/>
      <c r="G207" s="504"/>
      <c r="H207" s="504"/>
      <c r="I207" s="504"/>
      <c r="J207" s="504"/>
      <c r="K207" s="504"/>
      <c r="L207" s="504"/>
      <c r="M207" s="122"/>
    </row>
    <row r="208" spans="1:13" x14ac:dyDescent="0.2">
      <c r="A208" s="7"/>
      <c r="E208" s="122"/>
      <c r="F208" s="122"/>
      <c r="G208" s="122"/>
      <c r="H208" s="122"/>
      <c r="K208" s="122"/>
      <c r="L208" s="122"/>
      <c r="M208" s="122"/>
    </row>
    <row r="209" spans="1:18" x14ac:dyDescent="0.2">
      <c r="A209" s="7"/>
      <c r="M209" s="122"/>
      <c r="N209" s="122"/>
      <c r="O209" s="122"/>
      <c r="P209" s="122"/>
      <c r="Q209" s="122"/>
      <c r="R209" s="122"/>
    </row>
    <row r="210" spans="1:18" x14ac:dyDescent="0.2">
      <c r="A210" s="6" t="s">
        <v>95</v>
      </c>
      <c r="B210" s="1" t="s">
        <v>96</v>
      </c>
      <c r="M210" s="122"/>
      <c r="N210" s="122"/>
      <c r="O210" s="122"/>
      <c r="P210" s="122"/>
      <c r="Q210" s="122"/>
      <c r="R210" s="122"/>
    </row>
    <row r="211" spans="1:18" x14ac:dyDescent="0.2">
      <c r="A211" s="7"/>
      <c r="B211" s="1"/>
      <c r="M211" s="122"/>
      <c r="N211" s="122"/>
      <c r="O211" s="122"/>
      <c r="P211" s="122"/>
      <c r="Q211" s="122"/>
      <c r="R211" s="122"/>
    </row>
    <row r="212" spans="1:18" x14ac:dyDescent="0.2">
      <c r="A212" s="7"/>
      <c r="B212" s="1" t="s">
        <v>97</v>
      </c>
      <c r="M212" s="122"/>
      <c r="N212" s="122"/>
      <c r="O212" s="122"/>
      <c r="P212" s="122"/>
      <c r="Q212" s="122"/>
      <c r="R212" s="122"/>
    </row>
    <row r="213" spans="1:18" x14ac:dyDescent="0.2">
      <c r="A213" s="7"/>
      <c r="B213" s="15" t="s">
        <v>350</v>
      </c>
      <c r="M213" s="122"/>
      <c r="N213" s="122"/>
      <c r="O213" s="122"/>
      <c r="P213" s="122"/>
      <c r="Q213" s="122"/>
      <c r="R213" s="122"/>
    </row>
    <row r="214" spans="1:18" x14ac:dyDescent="0.2">
      <c r="A214" s="7"/>
      <c r="B214" s="15" t="s">
        <v>21</v>
      </c>
      <c r="M214" s="122"/>
      <c r="N214" s="122"/>
      <c r="O214" s="122"/>
      <c r="P214" s="122"/>
      <c r="Q214" s="122"/>
      <c r="R214" s="122"/>
    </row>
    <row r="215" spans="1:18" x14ac:dyDescent="0.2">
      <c r="A215" s="7"/>
      <c r="C215" s="2"/>
      <c r="D215" s="2"/>
      <c r="E215" s="2" t="str">
        <f>+E$13</f>
        <v>RT{1}</v>
      </c>
      <c r="F215" s="2" t="str">
        <f>+F$13</f>
        <v>RS{2}</v>
      </c>
      <c r="G215" s="2" t="str">
        <f>+G$13</f>
        <v>GS{3}</v>
      </c>
      <c r="H215" s="132" t="str">
        <f>+H$58</f>
        <v>GST {4}</v>
      </c>
      <c r="I215" s="2" t="str">
        <f>+I$13</f>
        <v>OL/SL</v>
      </c>
      <c r="J215" s="2"/>
      <c r="M215" s="122"/>
      <c r="N215" s="122"/>
      <c r="O215" s="122"/>
      <c r="P215" s="122"/>
      <c r="Q215" s="122"/>
      <c r="R215" s="122"/>
    </row>
    <row r="216" spans="1:18" x14ac:dyDescent="0.2">
      <c r="A216" s="7"/>
      <c r="C216" s="2"/>
      <c r="D216" s="2"/>
      <c r="E216" s="60"/>
      <c r="F216" s="2"/>
      <c r="G216" s="2"/>
      <c r="M216" s="122"/>
      <c r="N216" s="122"/>
      <c r="O216" s="122"/>
      <c r="P216" s="122"/>
      <c r="Q216" s="122"/>
      <c r="R216" s="122"/>
    </row>
    <row r="217" spans="1:18" x14ac:dyDescent="0.2">
      <c r="A217" s="7"/>
      <c r="B217" s="23" t="s">
        <v>17</v>
      </c>
      <c r="C217" s="60"/>
      <c r="D217" s="60"/>
      <c r="E217" s="60">
        <f>+E151+(E$95*$E$192)+E$198+E201</f>
        <v>125.41761885454427</v>
      </c>
      <c r="F217" s="60">
        <f>+F151+(F$95*$E$192)+F$198+F201</f>
        <v>131.51214655147365</v>
      </c>
      <c r="G217" s="60">
        <f>+G151+(G$95*$E$192)+G$198+G201</f>
        <v>118.37394796920096</v>
      </c>
      <c r="H217" s="60"/>
      <c r="I217" s="60">
        <f>+I151+(I$95*$E$192)+I$198+I201</f>
        <v>84.683751292331706</v>
      </c>
      <c r="J217" s="60"/>
      <c r="K217" s="60"/>
      <c r="M217" s="122"/>
      <c r="N217" s="122"/>
      <c r="O217" s="122"/>
      <c r="P217" s="122"/>
      <c r="Q217" s="122"/>
      <c r="R217" s="122"/>
    </row>
    <row r="218" spans="1:18" x14ac:dyDescent="0.2">
      <c r="A218" s="7"/>
      <c r="B218" s="63" t="s">
        <v>72</v>
      </c>
      <c r="C218" s="60"/>
      <c r="D218" s="60"/>
      <c r="E218" s="60">
        <f>+E152+(E$95*$E$192)+E$198+E$202</f>
        <v>192.23364381802003</v>
      </c>
      <c r="F218" s="60"/>
      <c r="G218" s="60"/>
      <c r="H218" s="60">
        <f>+H152+(H$95*$E$192)+H$198+H$202</f>
        <v>157.75993611700773</v>
      </c>
      <c r="I218" s="60"/>
      <c r="J218" s="60"/>
      <c r="M218" s="122"/>
      <c r="N218" s="122"/>
      <c r="O218" s="122"/>
      <c r="P218" s="122"/>
      <c r="Q218" s="122"/>
      <c r="R218" s="122"/>
    </row>
    <row r="219" spans="1:18" x14ac:dyDescent="0.2">
      <c r="A219" s="7"/>
      <c r="B219" s="63" t="s">
        <v>73</v>
      </c>
      <c r="C219" s="60"/>
      <c r="D219" s="60"/>
      <c r="E219" s="60">
        <f>+E153+(E$95*$E$192)+E$198</f>
        <v>79.407932630370055</v>
      </c>
      <c r="F219" s="60"/>
      <c r="G219" s="60"/>
      <c r="H219" s="60">
        <f>+H153+(H$95*$E$192)+H$198</f>
        <v>79.191345750715541</v>
      </c>
      <c r="I219" s="60"/>
      <c r="J219" s="60"/>
      <c r="M219" s="122"/>
      <c r="N219" s="122"/>
      <c r="O219" s="122"/>
      <c r="P219" s="122"/>
      <c r="Q219" s="122"/>
      <c r="R219" s="122"/>
    </row>
    <row r="220" spans="1:18" x14ac:dyDescent="0.2">
      <c r="A220" s="7"/>
      <c r="B220" s="73" t="s">
        <v>142</v>
      </c>
      <c r="C220" s="60"/>
      <c r="D220" s="60"/>
      <c r="E220" s="60"/>
      <c r="F220" s="60">
        <f>(F217*SUM(F65:F68)-C187*10*E186*SUM(F65:F68))/SUM(F65:F68)</f>
        <v>127.2012382664621</v>
      </c>
      <c r="G220" s="60"/>
      <c r="H220" s="60"/>
      <c r="I220" s="60"/>
      <c r="J220" s="60"/>
      <c r="M220" s="122"/>
      <c r="N220" s="122"/>
      <c r="O220" s="122"/>
      <c r="P220" s="122"/>
      <c r="Q220" s="122"/>
      <c r="R220" s="122"/>
    </row>
    <row r="221" spans="1:18" x14ac:dyDescent="0.2">
      <c r="A221" s="7"/>
      <c r="B221" s="73" t="s">
        <v>144</v>
      </c>
      <c r="C221" s="60"/>
      <c r="D221" s="60"/>
      <c r="E221" s="60"/>
      <c r="F221" s="60">
        <f>+F220+C187*10</f>
        <v>135.85323826646209</v>
      </c>
      <c r="G221" s="101"/>
      <c r="H221" s="60"/>
      <c r="I221" s="60"/>
      <c r="J221" s="60"/>
      <c r="M221" s="122"/>
      <c r="N221" s="122"/>
      <c r="O221" s="122"/>
      <c r="P221" s="122"/>
      <c r="Q221" s="122"/>
      <c r="R221" s="122"/>
    </row>
    <row r="222" spans="1:18" x14ac:dyDescent="0.2">
      <c r="A222" s="7"/>
      <c r="C222" s="60"/>
      <c r="D222" s="60"/>
      <c r="E222" s="60"/>
      <c r="F222" s="60"/>
      <c r="G222" s="60"/>
      <c r="H222" s="60"/>
      <c r="I222" s="60"/>
      <c r="J222" s="60"/>
      <c r="M222" s="122"/>
      <c r="N222" s="122"/>
      <c r="O222" s="122"/>
      <c r="P222" s="122"/>
      <c r="Q222" s="122"/>
      <c r="R222" s="122"/>
    </row>
    <row r="223" spans="1:18" x14ac:dyDescent="0.2">
      <c r="A223" s="7"/>
      <c r="B223" s="23" t="s">
        <v>18</v>
      </c>
      <c r="C223" s="60"/>
      <c r="D223" s="60"/>
      <c r="E223" s="60">
        <f>+E155+(E$95*$E$192)+E$198+E203</f>
        <v>118.45041948067116</v>
      </c>
      <c r="F223" s="60">
        <f>+F155+(F$95*$E$192)+F$198+F203</f>
        <v>138.09152902978082</v>
      </c>
      <c r="G223" s="60">
        <f>+G155+(G$95*$E$192)+G$198+G203</f>
        <v>111.23596081524653</v>
      </c>
      <c r="H223" s="60"/>
      <c r="I223" s="60">
        <f>+I155+(I$95*$E$192)+I$198+I203</f>
        <v>82.647122449931373</v>
      </c>
      <c r="J223" s="60"/>
      <c r="K223" s="60"/>
      <c r="M223" s="122"/>
      <c r="N223" s="122"/>
      <c r="O223" s="122"/>
      <c r="P223" s="122"/>
      <c r="Q223" s="122"/>
      <c r="R223" s="122"/>
    </row>
    <row r="224" spans="1:18" x14ac:dyDescent="0.2">
      <c r="A224" s="7"/>
      <c r="B224" s="63" t="s">
        <v>72</v>
      </c>
      <c r="C224" s="60"/>
      <c r="D224" s="60"/>
      <c r="E224" s="60">
        <f>+E156+(E$95*$E$192)+E$198+E$204</f>
        <v>181.64739969022301</v>
      </c>
      <c r="F224" s="60"/>
      <c r="G224" s="60"/>
      <c r="H224" s="60">
        <f>+H156+(H$95*$E$192)+H$198+H$204</f>
        <v>133.09406482205097</v>
      </c>
      <c r="I224" s="60"/>
      <c r="J224" s="60"/>
      <c r="M224" s="122"/>
      <c r="N224" s="122"/>
      <c r="O224" s="122"/>
      <c r="P224" s="122"/>
      <c r="Q224" s="122"/>
      <c r="R224" s="122"/>
    </row>
    <row r="225" spans="1:18" x14ac:dyDescent="0.2">
      <c r="A225" s="7"/>
      <c r="B225" s="63" t="s">
        <v>73</v>
      </c>
      <c r="C225" s="60"/>
      <c r="D225" s="60"/>
      <c r="E225" s="60">
        <f>+E157+(E$95*$E$192)+E$198</f>
        <v>84.420072211081944</v>
      </c>
      <c r="F225" s="60"/>
      <c r="G225" s="60"/>
      <c r="H225" s="60">
        <f>+H157+(H$95*$E$192)+H$198</f>
        <v>81.157045422646434</v>
      </c>
      <c r="I225" s="60"/>
      <c r="J225" s="60"/>
      <c r="M225" s="122"/>
      <c r="N225" s="122"/>
      <c r="O225" s="122"/>
      <c r="P225" s="122"/>
      <c r="Q225" s="122"/>
      <c r="R225" s="122"/>
    </row>
    <row r="226" spans="1:18" x14ac:dyDescent="0.2">
      <c r="A226" s="7"/>
      <c r="C226" s="60"/>
      <c r="D226" s="60"/>
      <c r="E226" s="60"/>
      <c r="F226" s="60"/>
      <c r="G226" s="60"/>
      <c r="H226" s="60"/>
      <c r="I226" s="60"/>
      <c r="J226" s="60"/>
      <c r="M226" s="122"/>
      <c r="N226" s="122"/>
      <c r="O226" s="122"/>
      <c r="P226" s="122"/>
      <c r="Q226" s="122"/>
      <c r="R226" s="122"/>
    </row>
    <row r="227" spans="1:18" x14ac:dyDescent="0.2">
      <c r="A227" s="7"/>
      <c r="B227" t="s">
        <v>98</v>
      </c>
      <c r="C227" s="60"/>
      <c r="D227" s="60"/>
      <c r="E227" s="60">
        <f>+E159+(E$95*$E$192)+E$198+E200</f>
        <v>120.82481022334599</v>
      </c>
      <c r="F227" s="60">
        <f>+F159+(F$95*$E$192)+F$198+F200</f>
        <v>135.33956766437038</v>
      </c>
      <c r="G227" s="60">
        <f>+G159+(G$95*$E$192)+G$198+G200</f>
        <v>113.80753841818542</v>
      </c>
      <c r="H227" s="60">
        <f>((H218*SUMPRODUCT(H38:H41,H65:H68)+H219*SUMPRODUCT(T38:T41,H65:H68))+(H224*(SUMPRODUCT(H33:H37,H60:H64)+SUMPRODUCT(H42:H44,H69:H71))+H225*(SUMPRODUCT(T33:T37,H60:H64)+SUMPRODUCT(T42:T44,H69:H71))))/H72</f>
        <v>107.19121404126582</v>
      </c>
      <c r="I227" s="60">
        <f>+I159+(I$95*$E$192)+I$198+I200</f>
        <v>83.326172733928786</v>
      </c>
      <c r="J227" s="60"/>
      <c r="K227" s="60"/>
      <c r="M227" s="122"/>
      <c r="N227" s="122"/>
      <c r="O227" s="122"/>
      <c r="P227" s="122"/>
      <c r="Q227" s="122"/>
      <c r="R227" s="122"/>
    </row>
    <row r="228" spans="1:18" x14ac:dyDescent="0.2">
      <c r="A228" s="7"/>
      <c r="C228" s="60"/>
      <c r="D228" s="60"/>
      <c r="E228" s="60"/>
      <c r="F228" s="60"/>
      <c r="G228" s="60"/>
      <c r="H228" s="60"/>
      <c r="I228" s="60"/>
      <c r="J228" s="60"/>
      <c r="K228" s="60"/>
      <c r="M228" s="122"/>
      <c r="N228" s="122"/>
      <c r="O228" s="122"/>
      <c r="P228" s="122"/>
      <c r="Q228" s="122"/>
      <c r="R228" s="122"/>
    </row>
    <row r="229" spans="1:18" x14ac:dyDescent="0.2">
      <c r="A229" s="7"/>
      <c r="B229" s="1" t="s">
        <v>99</v>
      </c>
      <c r="M229" s="122"/>
      <c r="N229" s="122"/>
      <c r="O229" s="122"/>
      <c r="P229" s="122"/>
      <c r="Q229" s="122"/>
      <c r="R229" s="122"/>
    </row>
    <row r="230" spans="1:18" x14ac:dyDescent="0.2">
      <c r="A230" s="7"/>
      <c r="B230" s="15" t="s">
        <v>100</v>
      </c>
      <c r="M230" s="122"/>
      <c r="N230" s="122"/>
      <c r="O230" s="122"/>
      <c r="P230" s="122"/>
      <c r="Q230" s="122"/>
      <c r="R230" s="122"/>
    </row>
    <row r="231" spans="1:18" x14ac:dyDescent="0.2">
      <c r="A231" s="7"/>
      <c r="B231" s="15" t="s">
        <v>21</v>
      </c>
      <c r="M231" s="122"/>
      <c r="N231" s="122"/>
      <c r="O231" s="122"/>
      <c r="P231" s="122"/>
      <c r="Q231" s="122"/>
      <c r="R231" s="122"/>
    </row>
    <row r="232" spans="1:18" x14ac:dyDescent="0.2">
      <c r="A232" s="7"/>
      <c r="B232" s="63"/>
      <c r="C232" s="60"/>
      <c r="D232" s="60"/>
      <c r="I232" s="73"/>
      <c r="J232" s="60"/>
      <c r="K232" s="77"/>
      <c r="M232" s="122"/>
      <c r="N232" s="122"/>
      <c r="O232" s="122"/>
      <c r="P232" s="122"/>
      <c r="Q232" s="122"/>
      <c r="R232" s="122"/>
    </row>
    <row r="233" spans="1:18" x14ac:dyDescent="0.2">
      <c r="A233" s="7"/>
      <c r="C233" s="60"/>
      <c r="D233" s="60"/>
      <c r="M233" s="122"/>
      <c r="N233" s="122"/>
      <c r="O233" s="122"/>
      <c r="P233" s="122"/>
      <c r="Q233" s="122"/>
      <c r="R233" s="122"/>
    </row>
    <row r="234" spans="1:18" x14ac:dyDescent="0.2">
      <c r="A234" s="7"/>
      <c r="B234" s="32" t="s">
        <v>101</v>
      </c>
      <c r="C234" s="60"/>
      <c r="D234" s="60"/>
      <c r="I234" s="80"/>
      <c r="K234" s="77"/>
    </row>
    <row r="235" spans="1:18" x14ac:dyDescent="0.2">
      <c r="A235" s="7"/>
      <c r="B235" s="63"/>
      <c r="C235" s="60"/>
      <c r="D235" s="60"/>
      <c r="I235" s="73"/>
      <c r="J235" s="64"/>
      <c r="K235" s="77"/>
    </row>
    <row r="236" spans="1:18" ht="15.75" x14ac:dyDescent="0.25">
      <c r="A236" s="7"/>
      <c r="B236" s="504" t="str">
        <f>$B$1</f>
        <v xml:space="preserve">Jersey Central Power &amp; Light </v>
      </c>
      <c r="C236" s="504"/>
      <c r="D236" s="504"/>
      <c r="E236" s="504"/>
      <c r="F236" s="504"/>
      <c r="G236" s="504"/>
      <c r="H236" s="504"/>
      <c r="I236" s="504"/>
      <c r="J236" s="504"/>
      <c r="K236" s="504"/>
      <c r="L236" s="504"/>
    </row>
    <row r="237" spans="1:18" ht="15.75" x14ac:dyDescent="0.25">
      <c r="A237" s="7"/>
      <c r="B237" s="504" t="str">
        <f>$B$2</f>
        <v>Attachment 2</v>
      </c>
      <c r="C237" s="504"/>
      <c r="D237" s="504"/>
      <c r="E237" s="504"/>
      <c r="F237" s="504"/>
      <c r="G237" s="504"/>
      <c r="H237" s="504"/>
      <c r="I237" s="504"/>
      <c r="J237" s="504"/>
      <c r="K237" s="504"/>
      <c r="L237" s="504"/>
    </row>
    <row r="238" spans="1:18" ht="15.75" x14ac:dyDescent="0.25">
      <c r="A238" s="7"/>
      <c r="B238" s="140"/>
      <c r="C238" s="140"/>
      <c r="D238" s="140"/>
      <c r="E238" s="140"/>
      <c r="F238" s="140"/>
      <c r="G238" s="140"/>
      <c r="H238" s="140"/>
      <c r="I238" s="140"/>
      <c r="J238" s="140"/>
      <c r="K238" s="140"/>
      <c r="L238" s="140"/>
    </row>
    <row r="239" spans="1:18" ht="15.75" x14ac:dyDescent="0.25">
      <c r="A239" s="6" t="s">
        <v>106</v>
      </c>
      <c r="B239" s="1" t="s">
        <v>238</v>
      </c>
      <c r="C239" s="17"/>
      <c r="E239" s="139"/>
      <c r="F239" s="8"/>
      <c r="K239" s="140"/>
      <c r="L239" s="140"/>
    </row>
    <row r="240" spans="1:18" ht="15.75" x14ac:dyDescent="0.25">
      <c r="B240" t="s">
        <v>239</v>
      </c>
      <c r="K240" s="140"/>
      <c r="L240" s="140"/>
    </row>
    <row r="241" spans="1:12" ht="15.75" x14ac:dyDescent="0.25">
      <c r="E241" s="2" t="s">
        <v>61</v>
      </c>
      <c r="F241" s="2" t="s">
        <v>62</v>
      </c>
      <c r="G241" s="2" t="s">
        <v>65</v>
      </c>
      <c r="H241" s="2" t="s">
        <v>203</v>
      </c>
      <c r="I241" s="2" t="s">
        <v>55</v>
      </c>
      <c r="K241" s="140"/>
      <c r="L241" s="140"/>
    </row>
    <row r="242" spans="1:12" ht="15.75" x14ac:dyDescent="0.25">
      <c r="K242" s="140"/>
      <c r="L242" s="140"/>
    </row>
    <row r="243" spans="1:12" ht="15.75" x14ac:dyDescent="0.25">
      <c r="B243" s="23" t="s">
        <v>17</v>
      </c>
      <c r="E243" s="4">
        <f>'Composite Cost Allocation'!E110</f>
        <v>2370994</v>
      </c>
      <c r="G243" s="4">
        <f>'Composite Cost Allocation'!G110</f>
        <v>2091570000</v>
      </c>
      <c r="I243" s="4">
        <f>'Composite Cost Allocation'!I110</f>
        <v>40326000</v>
      </c>
      <c r="K243" s="140"/>
      <c r="L243" s="140"/>
    </row>
    <row r="244" spans="1:12" ht="15.75" x14ac:dyDescent="0.25">
      <c r="B244" s="63" t="s">
        <v>72</v>
      </c>
      <c r="E244" s="4">
        <f>'Composite Cost Allocation'!E111</f>
        <v>23328273</v>
      </c>
      <c r="H244" s="4">
        <f>'Composite Cost Allocation'!H111</f>
        <v>24495801.499999996</v>
      </c>
      <c r="K244" s="140"/>
      <c r="L244" s="140"/>
    </row>
    <row r="245" spans="1:12" ht="15.75" x14ac:dyDescent="0.25">
      <c r="B245" s="63" t="s">
        <v>73</v>
      </c>
      <c r="E245" s="4">
        <f>'Composite Cost Allocation'!E112</f>
        <v>33868733</v>
      </c>
      <c r="H245" s="4">
        <f>'Composite Cost Allocation'!H112</f>
        <v>29455198.500000004</v>
      </c>
      <c r="K245" s="140"/>
      <c r="L245" s="140"/>
    </row>
    <row r="246" spans="1:12" ht="15.75" x14ac:dyDescent="0.25">
      <c r="B246" s="73" t="s">
        <v>142</v>
      </c>
      <c r="F246" s="4">
        <f>'Composite Cost Allocation'!F113</f>
        <v>2024892000</v>
      </c>
      <c r="K246" s="140"/>
      <c r="L246" s="140"/>
    </row>
    <row r="247" spans="1:12" ht="15.75" x14ac:dyDescent="0.25">
      <c r="B247" s="73" t="s">
        <v>144</v>
      </c>
      <c r="F247" s="4">
        <f>'Composite Cost Allocation'!F114</f>
        <v>2010814000</v>
      </c>
      <c r="K247" s="140"/>
      <c r="L247" s="140"/>
    </row>
    <row r="248" spans="1:12" ht="15.75" x14ac:dyDescent="0.25">
      <c r="K248" s="140"/>
      <c r="L248" s="140"/>
    </row>
    <row r="249" spans="1:12" ht="15.75" x14ac:dyDescent="0.25">
      <c r="B249" s="23" t="s">
        <v>18</v>
      </c>
      <c r="E249" s="4">
        <f>'Composite Cost Allocation'!E116</f>
        <v>5691342</v>
      </c>
      <c r="F249" s="4">
        <f>'Composite Cost Allocation'!F116</f>
        <v>5612850000</v>
      </c>
      <c r="G249" s="4">
        <f>'Composite Cost Allocation'!G116</f>
        <v>3714049000</v>
      </c>
      <c r="I249" s="4">
        <f>'Composite Cost Allocation'!I116</f>
        <v>80621000</v>
      </c>
      <c r="K249" s="140"/>
      <c r="L249" s="140"/>
    </row>
    <row r="250" spans="1:12" ht="15.75" x14ac:dyDescent="0.25">
      <c r="B250" s="63" t="s">
        <v>72</v>
      </c>
      <c r="E250" s="4">
        <f>'Composite Cost Allocation'!E117</f>
        <v>38318319.753899992</v>
      </c>
      <c r="H250" s="4">
        <f>'Composite Cost Allocation'!H117</f>
        <v>48727693.200000003</v>
      </c>
      <c r="K250" s="140"/>
      <c r="L250" s="140"/>
    </row>
    <row r="251" spans="1:12" ht="15.75" x14ac:dyDescent="0.25">
      <c r="B251" s="63" t="s">
        <v>73</v>
      </c>
      <c r="E251" s="4">
        <f>'Composite Cost Allocation'!E118</f>
        <v>71213338.246100008</v>
      </c>
      <c r="H251" s="4">
        <f>'Composite Cost Allocation'!H118</f>
        <v>64383306.799999997</v>
      </c>
      <c r="K251" s="140"/>
      <c r="L251" s="140"/>
    </row>
    <row r="252" spans="1:12" ht="15.75" x14ac:dyDescent="0.25">
      <c r="J252" s="2" t="s">
        <v>13</v>
      </c>
      <c r="K252" s="140"/>
      <c r="L252" s="140"/>
    </row>
    <row r="253" spans="1:12" ht="15.75" x14ac:dyDescent="0.25">
      <c r="B253" s="73" t="s">
        <v>162</v>
      </c>
      <c r="E253" s="4">
        <f>SUM(E243:E247)</f>
        <v>59568000</v>
      </c>
      <c r="F253" s="4">
        <f>SUM(F243:F247)</f>
        <v>4035706000</v>
      </c>
      <c r="G253" s="4">
        <f>SUM(G243:G247)</f>
        <v>2091570000</v>
      </c>
      <c r="H253" s="4">
        <f>SUM(H243:H247)</f>
        <v>53951000</v>
      </c>
      <c r="I253" s="4">
        <f>SUM(I243:I247)</f>
        <v>40326000</v>
      </c>
      <c r="J253" s="4">
        <f>SUM(E253:I253)</f>
        <v>6281121000</v>
      </c>
      <c r="K253" s="140"/>
      <c r="L253" s="140"/>
    </row>
    <row r="254" spans="1:12" ht="15.75" x14ac:dyDescent="0.25">
      <c r="B254" s="73" t="s">
        <v>163</v>
      </c>
      <c r="E254" s="115">
        <f>SUM(E249:E251)</f>
        <v>115223000</v>
      </c>
      <c r="F254" s="115">
        <f>SUM(F249:F251)</f>
        <v>5612850000</v>
      </c>
      <c r="G254" s="10">
        <f>SUM(G249:G251)</f>
        <v>3714049000</v>
      </c>
      <c r="H254" s="10">
        <f>SUM(H249:H251)</f>
        <v>113111000</v>
      </c>
      <c r="I254" s="10">
        <f>SUM(I249:I251)</f>
        <v>80621000</v>
      </c>
      <c r="J254" s="115">
        <f>SUM(E254:I254)</f>
        <v>9635854000</v>
      </c>
      <c r="K254" s="140"/>
      <c r="L254" s="140"/>
    </row>
    <row r="255" spans="1:12" ht="15.75" x14ac:dyDescent="0.25">
      <c r="B255" s="73" t="s">
        <v>164</v>
      </c>
      <c r="E255" s="4">
        <f>SUM(E253:E254)</f>
        <v>174791000</v>
      </c>
      <c r="F255" s="4">
        <f>SUM(F253:F254)</f>
        <v>9648556000</v>
      </c>
      <c r="G255" s="4">
        <f>SUM(G253:G254)</f>
        <v>5805619000</v>
      </c>
      <c r="H255" s="4">
        <f>SUM(H253:H254)</f>
        <v>167062000</v>
      </c>
      <c r="I255" s="4">
        <f>SUM(I253:I254)</f>
        <v>120947000</v>
      </c>
      <c r="J255" s="4">
        <f>SUM(E255:I255)</f>
        <v>15916975000</v>
      </c>
      <c r="K255" s="140"/>
      <c r="L255" s="140"/>
    </row>
    <row r="256" spans="1:12" ht="15.75" x14ac:dyDescent="0.25">
      <c r="A256" s="7"/>
      <c r="B256" s="140"/>
      <c r="C256" s="140"/>
      <c r="D256" s="140"/>
      <c r="E256" s="140"/>
      <c r="F256" s="140"/>
      <c r="G256" s="140"/>
      <c r="H256" s="140"/>
      <c r="I256" s="140"/>
      <c r="J256" s="140"/>
      <c r="K256" s="140"/>
      <c r="L256" s="140"/>
    </row>
    <row r="257" spans="1:15" ht="15.75" x14ac:dyDescent="0.25">
      <c r="A257" s="7"/>
      <c r="B257" s="140"/>
      <c r="C257" s="140"/>
      <c r="D257" s="140"/>
      <c r="E257" s="140"/>
      <c r="F257" s="140"/>
      <c r="G257" s="140"/>
      <c r="H257" s="140"/>
      <c r="I257" s="140"/>
      <c r="J257" s="140"/>
      <c r="K257" s="140"/>
      <c r="L257" s="140"/>
    </row>
    <row r="261" spans="1:15" x14ac:dyDescent="0.2">
      <c r="A261" s="6" t="s">
        <v>133</v>
      </c>
      <c r="B261" s="1" t="s">
        <v>168</v>
      </c>
    </row>
    <row r="262" spans="1:15" x14ac:dyDescent="0.2">
      <c r="A262" s="7"/>
      <c r="B262" s="1"/>
    </row>
    <row r="263" spans="1:15" x14ac:dyDescent="0.2">
      <c r="A263" s="7"/>
      <c r="C263" s="2"/>
      <c r="D263" s="2"/>
      <c r="E263" s="2" t="str">
        <f>+E$13</f>
        <v>RT{1}</v>
      </c>
      <c r="F263" s="2" t="str">
        <f>+F$13</f>
        <v>RS{2}</v>
      </c>
      <c r="G263" s="2" t="str">
        <f>+G$13</f>
        <v>GS{3}</v>
      </c>
      <c r="H263" s="132" t="str">
        <f>+H$58</f>
        <v>GST {4}</v>
      </c>
      <c r="I263" s="2" t="str">
        <f>+I$13</f>
        <v>OL/SL</v>
      </c>
      <c r="J263" s="2" t="s">
        <v>13</v>
      </c>
      <c r="K263" s="2"/>
      <c r="L263" s="2"/>
    </row>
    <row r="264" spans="1:15" x14ac:dyDescent="0.2">
      <c r="A264" s="7"/>
      <c r="B264" t="s">
        <v>134</v>
      </c>
    </row>
    <row r="265" spans="1:15" x14ac:dyDescent="0.2">
      <c r="A265" s="7"/>
      <c r="B265" s="23" t="s">
        <v>17</v>
      </c>
      <c r="C265" s="126"/>
      <c r="D265" s="126"/>
      <c r="E265" s="126">
        <f>+E217*E243/1000000</f>
        <v>297.36442179841134</v>
      </c>
      <c r="F265" s="126"/>
      <c r="G265" s="126">
        <f>+G217*G243/1000000</f>
        <v>247587.39835394165</v>
      </c>
      <c r="H265" s="121"/>
      <c r="I265" s="126">
        <f>+I217*I243/1000000</f>
        <v>3414.9569546145681</v>
      </c>
      <c r="J265" s="126"/>
      <c r="K265" s="126"/>
      <c r="L265" s="126"/>
    </row>
    <row r="266" spans="1:15" x14ac:dyDescent="0.2">
      <c r="A266" s="7"/>
      <c r="B266" s="63" t="s">
        <v>72</v>
      </c>
      <c r="C266" s="126"/>
      <c r="D266" s="126"/>
      <c r="E266" s="126">
        <f>+E218*E244/1000000</f>
        <v>4484.4789227715337</v>
      </c>
      <c r="F266" s="126"/>
      <c r="G266" s="126"/>
      <c r="H266" s="126">
        <f>+H218*H244/1000000</f>
        <v>3864.4560797749014</v>
      </c>
      <c r="I266" s="126"/>
      <c r="J266" s="126"/>
      <c r="K266" s="126"/>
      <c r="L266" s="126"/>
    </row>
    <row r="267" spans="1:15" x14ac:dyDescent="0.2">
      <c r="A267" s="7"/>
      <c r="B267" s="63" t="s">
        <v>73</v>
      </c>
      <c r="C267" s="126"/>
      <c r="D267" s="126"/>
      <c r="E267" s="126">
        <f>+E219*E245/1000000</f>
        <v>2689.4460683399911</v>
      </c>
      <c r="F267" s="126"/>
      <c r="G267" s="126"/>
      <c r="H267" s="126">
        <f>+H219*H245/1000000</f>
        <v>2332.5968085694581</v>
      </c>
      <c r="I267" s="126"/>
      <c r="J267" s="126"/>
      <c r="K267" s="3"/>
      <c r="L267" s="3"/>
    </row>
    <row r="268" spans="1:15" x14ac:dyDescent="0.2">
      <c r="A268" s="7"/>
      <c r="B268" s="73" t="s">
        <v>142</v>
      </c>
      <c r="C268" s="126"/>
      <c r="D268" s="126"/>
      <c r="E268" s="126"/>
      <c r="F268" s="126">
        <f>+F220*F246/1000000</f>
        <v>257568.76975585296</v>
      </c>
      <c r="G268" s="126"/>
      <c r="H268" s="121"/>
      <c r="I268" s="126"/>
      <c r="J268" s="126"/>
      <c r="K268" s="126"/>
      <c r="L268" s="126"/>
    </row>
    <row r="269" spans="1:15" x14ac:dyDescent="0.2">
      <c r="A269" s="7"/>
      <c r="B269" s="73" t="s">
        <v>144</v>
      </c>
      <c r="C269" s="126"/>
      <c r="D269" s="126"/>
      <c r="E269" s="126"/>
      <c r="F269" s="126">
        <f>+F221*F247/1000000</f>
        <v>273175.59345153772</v>
      </c>
      <c r="G269" s="126"/>
      <c r="H269" s="121"/>
      <c r="I269" s="126"/>
      <c r="J269" s="126"/>
      <c r="K269" s="126"/>
      <c r="L269" s="126"/>
      <c r="M269" s="3"/>
      <c r="N269" s="3"/>
      <c r="O269" s="3"/>
    </row>
    <row r="270" spans="1:15" x14ac:dyDescent="0.2">
      <c r="A270" s="7"/>
      <c r="C270" s="126"/>
      <c r="D270" s="126"/>
      <c r="E270" s="126"/>
      <c r="F270" s="126"/>
      <c r="G270" s="126"/>
      <c r="H270" s="121"/>
      <c r="I270" s="126"/>
      <c r="J270" s="126"/>
      <c r="K270" s="126"/>
      <c r="L270" s="126"/>
    </row>
    <row r="271" spans="1:15" x14ac:dyDescent="0.2">
      <c r="A271" s="7"/>
      <c r="B271" s="23" t="s">
        <v>18</v>
      </c>
      <c r="C271" s="126"/>
      <c r="D271" s="126"/>
      <c r="E271" s="126">
        <f>+E223*E249/1000000</f>
        <v>674.14184730796194</v>
      </c>
      <c r="F271" s="126">
        <f>+F223*F249/1000000</f>
        <v>775087.03871480527</v>
      </c>
      <c r="G271" s="126">
        <f>+G223*G249/1000000</f>
        <v>413135.80902990559</v>
      </c>
      <c r="I271" s="126">
        <f>+I223*I249/1000000</f>
        <v>6663.093659035917</v>
      </c>
      <c r="J271" s="126"/>
      <c r="K271" s="126"/>
      <c r="L271" s="126"/>
    </row>
    <row r="272" spans="1:15" x14ac:dyDescent="0.2">
      <c r="A272" s="7"/>
      <c r="B272" s="63" t="s">
        <v>72</v>
      </c>
      <c r="C272" s="126"/>
      <c r="D272" s="126"/>
      <c r="E272" s="126">
        <f>+E224*E250/1000000</f>
        <v>6960.4231437944391</v>
      </c>
      <c r="F272" s="3"/>
      <c r="G272" s="3"/>
      <c r="H272" s="126">
        <f>+H224*H250/1000000</f>
        <v>6485.3667573898128</v>
      </c>
      <c r="I272" s="3"/>
      <c r="J272" s="126"/>
      <c r="K272" s="126"/>
      <c r="L272" s="126"/>
    </row>
    <row r="273" spans="1:12" x14ac:dyDescent="0.2">
      <c r="A273" s="7"/>
      <c r="B273" s="63" t="s">
        <v>73</v>
      </c>
      <c r="C273" s="3"/>
      <c r="D273" s="3"/>
      <c r="E273" s="126">
        <f>+E225*E251/1000000</f>
        <v>6011.8351571279663</v>
      </c>
      <c r="H273" s="126">
        <f>+H225*H251/1000000</f>
        <v>5225.1589544277813</v>
      </c>
      <c r="J273" s="126"/>
      <c r="K273" s="126"/>
      <c r="L273" s="126"/>
    </row>
    <row r="274" spans="1:12" x14ac:dyDescent="0.2">
      <c r="A274" s="7"/>
      <c r="B274" s="5"/>
    </row>
    <row r="275" spans="1:12" x14ac:dyDescent="0.2">
      <c r="A275" s="7"/>
      <c r="B275" t="s">
        <v>135</v>
      </c>
    </row>
    <row r="276" spans="1:12" x14ac:dyDescent="0.2">
      <c r="A276" s="7"/>
      <c r="B276" s="5" t="s">
        <v>25</v>
      </c>
      <c r="E276" s="3">
        <f>SUM(E265:E269)</f>
        <v>7471.2894129099359</v>
      </c>
      <c r="F276" s="3">
        <f>SUM(F265:F269)</f>
        <v>530744.36320739065</v>
      </c>
      <c r="G276" s="3">
        <f>SUM(G265:G269)</f>
        <v>247587.39835394165</v>
      </c>
      <c r="H276" s="3">
        <f>SUM(H265:H269)</f>
        <v>6197.0528883443594</v>
      </c>
      <c r="I276" s="3">
        <f>SUM(I265:I269)</f>
        <v>3414.9569546145681</v>
      </c>
      <c r="J276" s="128">
        <f>SUM(E276:I276)</f>
        <v>795415.06081720116</v>
      </c>
    </row>
    <row r="277" spans="1:12" x14ac:dyDescent="0.2">
      <c r="A277" s="7"/>
      <c r="B277" s="5" t="s">
        <v>26</v>
      </c>
      <c r="E277" s="3">
        <f>SUM(E271:E273)</f>
        <v>13646.400148230368</v>
      </c>
      <c r="F277" s="3">
        <f>SUM(F271:F273)</f>
        <v>775087.03871480527</v>
      </c>
      <c r="G277" s="3">
        <f>SUM(G271:G273)</f>
        <v>413135.80902990559</v>
      </c>
      <c r="H277" s="3">
        <f>SUM(H271:H273)</f>
        <v>11710.525711817594</v>
      </c>
      <c r="I277" s="3">
        <f>SUM(I271:I273)</f>
        <v>6663.093659035917</v>
      </c>
      <c r="J277" s="128">
        <f>SUM(E277:I277)</f>
        <v>1220242.8672637949</v>
      </c>
    </row>
    <row r="278" spans="1:12" x14ac:dyDescent="0.2">
      <c r="A278" s="7"/>
      <c r="B278" s="5" t="s">
        <v>13</v>
      </c>
      <c r="E278" s="3">
        <f>SUM(E276:E277)</f>
        <v>21117.689561140305</v>
      </c>
      <c r="F278" s="3">
        <f>SUM(F276:F277)</f>
        <v>1305831.4019221959</v>
      </c>
      <c r="G278" s="3">
        <f>SUM(G276:G277)</f>
        <v>660723.20738384721</v>
      </c>
      <c r="H278" s="3">
        <f>SUM(H276:H277)</f>
        <v>17907.578600161953</v>
      </c>
      <c r="I278" s="3">
        <f>SUM(I276:I277)</f>
        <v>10078.050613650485</v>
      </c>
      <c r="J278" s="3">
        <f>SUM(E278:I278)</f>
        <v>2015657.9280809958</v>
      </c>
    </row>
    <row r="279" spans="1:12" x14ac:dyDescent="0.2">
      <c r="A279" s="7"/>
    </row>
    <row r="280" spans="1:12" x14ac:dyDescent="0.2">
      <c r="A280" s="7"/>
      <c r="B280" t="s">
        <v>136</v>
      </c>
    </row>
    <row r="281" spans="1:12" x14ac:dyDescent="0.2">
      <c r="A281" s="7"/>
      <c r="B281" s="5" t="s">
        <v>25</v>
      </c>
      <c r="E281" s="127">
        <f t="shared" ref="E281:J281" si="16">+E276/E278</f>
        <v>0.35379293701988218</v>
      </c>
      <c r="F281" s="127">
        <f t="shared" si="16"/>
        <v>0.40644172166952797</v>
      </c>
      <c r="G281" s="127">
        <f t="shared" si="16"/>
        <v>0.37472181329042636</v>
      </c>
      <c r="H281" s="127">
        <f t="shared" si="16"/>
        <v>0.34605755622864137</v>
      </c>
      <c r="I281" s="127">
        <f t="shared" si="16"/>
        <v>0.33885094305729013</v>
      </c>
      <c r="J281" s="127">
        <f t="shared" si="16"/>
        <v>0.39461807965326484</v>
      </c>
    </row>
    <row r="282" spans="1:12" x14ac:dyDescent="0.2">
      <c r="A282" s="7"/>
      <c r="B282" s="5" t="s">
        <v>26</v>
      </c>
      <c r="E282" s="127">
        <f t="shared" ref="E282:J282" si="17">+E277/E278</f>
        <v>0.64620706298011776</v>
      </c>
      <c r="F282" s="127">
        <f t="shared" si="17"/>
        <v>0.59355827833047203</v>
      </c>
      <c r="G282" s="127">
        <f t="shared" si="17"/>
        <v>0.62527818670957369</v>
      </c>
      <c r="H282" s="127">
        <f t="shared" si="17"/>
        <v>0.65394244377135868</v>
      </c>
      <c r="I282" s="127">
        <f t="shared" si="17"/>
        <v>0.66114905694270998</v>
      </c>
      <c r="J282" s="127">
        <f t="shared" si="17"/>
        <v>0.60538192034673532</v>
      </c>
    </row>
    <row r="283" spans="1:12" x14ac:dyDescent="0.2">
      <c r="A283" s="7"/>
      <c r="B283" s="5"/>
      <c r="E283" s="127"/>
      <c r="F283" s="127"/>
      <c r="G283" s="127"/>
      <c r="H283" s="127"/>
      <c r="I283" s="127"/>
      <c r="J283" s="127"/>
    </row>
    <row r="284" spans="1:12" x14ac:dyDescent="0.2">
      <c r="A284" s="7"/>
      <c r="B284" s="5"/>
      <c r="E284" s="127"/>
      <c r="F284" s="127"/>
      <c r="G284" s="127"/>
      <c r="H284" s="127"/>
      <c r="I284" s="127"/>
      <c r="J284" s="127"/>
    </row>
    <row r="285" spans="1:12" ht="15.75" x14ac:dyDescent="0.25">
      <c r="A285" s="7"/>
      <c r="B285" s="504" t="str">
        <f>$B$1</f>
        <v xml:space="preserve">Jersey Central Power &amp; Light </v>
      </c>
      <c r="C285" s="504"/>
      <c r="D285" s="504"/>
      <c r="E285" s="504"/>
      <c r="F285" s="504"/>
      <c r="G285" s="504"/>
      <c r="H285" s="504"/>
      <c r="I285" s="504"/>
      <c r="J285" s="504"/>
      <c r="K285" s="504"/>
      <c r="L285" s="504"/>
    </row>
    <row r="286" spans="1:12" ht="15.75" x14ac:dyDescent="0.25">
      <c r="A286" s="7"/>
      <c r="B286" s="504" t="str">
        <f>$B$2</f>
        <v>Attachment 2</v>
      </c>
      <c r="C286" s="504"/>
      <c r="D286" s="504"/>
      <c r="E286" s="504"/>
      <c r="F286" s="504"/>
      <c r="G286" s="504"/>
      <c r="H286" s="504"/>
      <c r="I286" s="504"/>
      <c r="J286" s="504"/>
      <c r="K286" s="504"/>
      <c r="L286" s="504"/>
    </row>
    <row r="287" spans="1:12" x14ac:dyDescent="0.2">
      <c r="A287" s="7"/>
      <c r="B287" s="5"/>
      <c r="E287" s="127"/>
      <c r="F287" s="127"/>
      <c r="G287" s="127"/>
      <c r="H287" s="127"/>
      <c r="I287" s="127"/>
      <c r="J287" s="127"/>
    </row>
    <row r="288" spans="1:12" x14ac:dyDescent="0.2">
      <c r="A288" s="6" t="s">
        <v>138</v>
      </c>
      <c r="B288" s="1" t="s">
        <v>245</v>
      </c>
      <c r="G288" s="3"/>
    </row>
    <row r="289" spans="1:10" x14ac:dyDescent="0.2">
      <c r="A289" s="7"/>
      <c r="C289" s="60"/>
      <c r="D289" s="60"/>
    </row>
    <row r="290" spans="1:10" x14ac:dyDescent="0.2">
      <c r="A290" s="7"/>
      <c r="B290" s="1" t="s">
        <v>231</v>
      </c>
      <c r="C290" s="60"/>
      <c r="D290" s="60"/>
    </row>
    <row r="291" spans="1:10" x14ac:dyDescent="0.2">
      <c r="A291" s="7"/>
      <c r="B291" s="73" t="s">
        <v>103</v>
      </c>
      <c r="C291" s="121">
        <f>J278</f>
        <v>2015657.9280809958</v>
      </c>
    </row>
    <row r="292" spans="1:10" x14ac:dyDescent="0.2">
      <c r="A292" s="7"/>
      <c r="B292" s="1"/>
      <c r="C292" s="121"/>
    </row>
    <row r="293" spans="1:10" x14ac:dyDescent="0.2">
      <c r="A293" s="7"/>
      <c r="B293" s="1" t="s">
        <v>229</v>
      </c>
      <c r="C293" s="121"/>
      <c r="E293" s="2" t="str">
        <f>+E$13</f>
        <v>RT{1}</v>
      </c>
      <c r="F293" s="2" t="str">
        <f>+F$13</f>
        <v>RS{2}</v>
      </c>
      <c r="G293" s="2" t="str">
        <f>+G$13</f>
        <v>GS{3}</v>
      </c>
      <c r="H293" s="132" t="str">
        <f>+H$58</f>
        <v>GST {4}</v>
      </c>
      <c r="I293" s="2" t="str">
        <f>+I$13</f>
        <v>OL/SL</v>
      </c>
      <c r="J293" s="2" t="s">
        <v>13</v>
      </c>
    </row>
    <row r="294" spans="1:10" x14ac:dyDescent="0.2">
      <c r="A294" s="7"/>
      <c r="B294" s="18" t="s">
        <v>25</v>
      </c>
      <c r="C294" s="121"/>
      <c r="E294" s="137">
        <f>ROUND(SUM(E65:E68)*E95,0)</f>
        <v>66597</v>
      </c>
      <c r="F294" s="137">
        <f>ROUND(SUM(F65:F68)*F95,0)</f>
        <v>4511916</v>
      </c>
      <c r="G294" s="137">
        <f>ROUND(SUM(G65:G68)*G95,0)</f>
        <v>2338374</v>
      </c>
      <c r="H294" s="137">
        <f>ROUND(SUM(H65:H68)*H95,0)</f>
        <v>60317</v>
      </c>
      <c r="I294" s="137">
        <f>ROUND(SUM(I65:I68)*I95,0)</f>
        <v>45084</v>
      </c>
      <c r="J294" s="137">
        <f>SUM(E294:I294)</f>
        <v>7022288</v>
      </c>
    </row>
    <row r="295" spans="1:10" x14ac:dyDescent="0.2">
      <c r="A295" s="7"/>
      <c r="B295" s="12" t="s">
        <v>26</v>
      </c>
      <c r="C295" s="121"/>
      <c r="E295" s="137">
        <f>ROUND((E72-SUM(E65:E68))*E95,0)</f>
        <v>128819</v>
      </c>
      <c r="F295" s="137">
        <f>ROUND((F72-SUM(F65:F68))*F95,0)</f>
        <v>6275162</v>
      </c>
      <c r="G295" s="137">
        <f>ROUND((G72-SUM(G65:G68))*G95,0)</f>
        <v>4152304</v>
      </c>
      <c r="H295" s="137">
        <f>ROUND((H72-SUM(H65:H68))*H95,0)</f>
        <v>126458</v>
      </c>
      <c r="I295" s="137">
        <f>ROUND((I72-SUM(I65:I68))*I95,0)</f>
        <v>90134</v>
      </c>
      <c r="J295" s="137">
        <f>SUM(E295:I295)</f>
        <v>10772877</v>
      </c>
    </row>
    <row r="296" spans="1:10" x14ac:dyDescent="0.2">
      <c r="A296" s="7"/>
      <c r="C296" s="73"/>
      <c r="D296" s="122"/>
      <c r="J296" s="4"/>
    </row>
    <row r="297" spans="1:10" x14ac:dyDescent="0.2">
      <c r="A297" s="7"/>
      <c r="B297" s="1" t="s">
        <v>232</v>
      </c>
      <c r="C297" s="73"/>
      <c r="D297" s="136" t="s">
        <v>220</v>
      </c>
      <c r="E297" s="10" t="s">
        <v>226</v>
      </c>
    </row>
    <row r="298" spans="1:10" x14ac:dyDescent="0.2">
      <c r="A298" s="7"/>
      <c r="B298" s="225" t="s">
        <v>391</v>
      </c>
      <c r="D298" s="8" t="s">
        <v>223</v>
      </c>
      <c r="E298" s="430">
        <f>'Attachment 3 - 27-28'!D35</f>
        <v>113.27</v>
      </c>
      <c r="F298" s="8" t="s">
        <v>228</v>
      </c>
      <c r="G298" s="8" t="s">
        <v>230</v>
      </c>
    </row>
    <row r="299" spans="1:10" x14ac:dyDescent="0.2">
      <c r="A299" s="7"/>
      <c r="B299" t="s">
        <v>225</v>
      </c>
      <c r="C299" s="73"/>
      <c r="D299" s="141">
        <v>1</v>
      </c>
      <c r="E299" s="242">
        <f>ROUND($E$298*D299,3)</f>
        <v>113.27</v>
      </c>
      <c r="F299" s="4">
        <f>J294</f>
        <v>7022288</v>
      </c>
      <c r="G299" s="121">
        <f>ROUND(F299*E299/1000,0)</f>
        <v>795415</v>
      </c>
    </row>
    <row r="300" spans="1:10" ht="15" x14ac:dyDescent="0.35">
      <c r="A300" s="7"/>
      <c r="B300" t="s">
        <v>227</v>
      </c>
      <c r="C300" s="73"/>
      <c r="D300" s="141">
        <v>1</v>
      </c>
      <c r="E300" s="242">
        <f>ROUND($E$298*D300,3)</f>
        <v>113.27</v>
      </c>
      <c r="F300" s="4">
        <f>J295</f>
        <v>10772877</v>
      </c>
      <c r="G300" s="69">
        <f>ROUND(F300*E300/1000,0)</f>
        <v>1220244</v>
      </c>
    </row>
    <row r="301" spans="1:10" x14ac:dyDescent="0.2">
      <c r="A301" s="7"/>
      <c r="B301" t="s">
        <v>233</v>
      </c>
      <c r="C301" s="73"/>
      <c r="D301" s="122"/>
      <c r="G301" s="3">
        <f>SUM(G299:G300)</f>
        <v>2015659</v>
      </c>
    </row>
    <row r="302" spans="1:10" x14ac:dyDescent="0.2">
      <c r="A302" s="7"/>
      <c r="C302" s="73"/>
      <c r="D302" s="122"/>
    </row>
    <row r="303" spans="1:10" x14ac:dyDescent="0.2">
      <c r="A303" s="6" t="s">
        <v>240</v>
      </c>
      <c r="B303" s="1" t="s">
        <v>234</v>
      </c>
      <c r="C303" s="73"/>
      <c r="D303" s="122"/>
      <c r="F303" s="5" t="s">
        <v>220</v>
      </c>
      <c r="G303" s="5" t="s">
        <v>222</v>
      </c>
      <c r="H303" s="5"/>
    </row>
    <row r="304" spans="1:10" x14ac:dyDescent="0.2">
      <c r="A304" s="7"/>
      <c r="F304" s="5" t="s">
        <v>236</v>
      </c>
      <c r="G304" s="5" t="s">
        <v>223</v>
      </c>
      <c r="H304" s="5" t="s">
        <v>222</v>
      </c>
    </row>
    <row r="305" spans="1:15" x14ac:dyDescent="0.2">
      <c r="A305" s="7"/>
      <c r="B305" t="s">
        <v>235</v>
      </c>
      <c r="F305" s="8" t="s">
        <v>230</v>
      </c>
      <c r="G305" s="8" t="s">
        <v>224</v>
      </c>
      <c r="H305" s="8" t="s">
        <v>223</v>
      </c>
      <c r="I305" s="10"/>
    </row>
    <row r="306" spans="1:15" x14ac:dyDescent="0.2">
      <c r="A306" s="7"/>
      <c r="B306" s="5" t="s">
        <v>25</v>
      </c>
      <c r="C306" s="129">
        <f>J276*1000/J294</f>
        <v>113.27007106760662</v>
      </c>
      <c r="D306" t="s">
        <v>137</v>
      </c>
      <c r="F306" s="221">
        <f>E299</f>
        <v>113.27</v>
      </c>
      <c r="G306" s="135">
        <f>E299/C306</f>
        <v>0.99999937258266058</v>
      </c>
      <c r="H306" s="428">
        <v>1.3242700000000001</v>
      </c>
    </row>
    <row r="307" spans="1:15" x14ac:dyDescent="0.2">
      <c r="A307" s="7"/>
      <c r="B307" s="5" t="s">
        <v>26</v>
      </c>
      <c r="C307" s="129">
        <f>J277*1000/J295</f>
        <v>113.26991547975484</v>
      </c>
      <c r="D307" t="s">
        <v>137</v>
      </c>
      <c r="F307" s="221">
        <f>E300</f>
        <v>113.27</v>
      </c>
      <c r="G307" s="135">
        <f>E300/C307</f>
        <v>1.0000007461844109</v>
      </c>
      <c r="H307" s="428">
        <v>1.0695349999999999</v>
      </c>
    </row>
    <row r="308" spans="1:15" x14ac:dyDescent="0.2">
      <c r="A308" s="7"/>
      <c r="B308" s="5"/>
      <c r="C308" s="129"/>
      <c r="H308" s="2"/>
      <c r="I308" s="87"/>
    </row>
    <row r="309" spans="1:15" x14ac:dyDescent="0.2">
      <c r="A309" s="1" t="s">
        <v>108</v>
      </c>
      <c r="E309" s="81"/>
      <c r="F309" s="84"/>
    </row>
    <row r="310" spans="1:15" x14ac:dyDescent="0.2">
      <c r="A310" s="7"/>
      <c r="B310" s="73" t="s">
        <v>132</v>
      </c>
      <c r="C310" s="85">
        <f>E177</f>
        <v>352.33699999999999</v>
      </c>
      <c r="D310" s="77" t="s">
        <v>160</v>
      </c>
      <c r="E310" s="81"/>
      <c r="F310" s="84"/>
      <c r="M310" s="1"/>
      <c r="N310" s="87"/>
      <c r="O310" s="87"/>
    </row>
    <row r="311" spans="1:15" x14ac:dyDescent="0.2">
      <c r="A311" s="7"/>
      <c r="B311" s="73"/>
      <c r="C311" s="85">
        <f>E178</f>
        <v>352.33699999999999</v>
      </c>
      <c r="D311" s="77" t="s">
        <v>161</v>
      </c>
      <c r="E311" s="81"/>
      <c r="F311" s="84"/>
    </row>
    <row r="312" spans="1:15" x14ac:dyDescent="0.2">
      <c r="A312" s="7"/>
      <c r="B312" s="73" t="s">
        <v>159</v>
      </c>
      <c r="C312" s="392" t="s">
        <v>339</v>
      </c>
      <c r="D312" s="77"/>
      <c r="E312" s="81"/>
      <c r="F312" s="84"/>
    </row>
    <row r="313" spans="1:15" x14ac:dyDescent="0.2">
      <c r="A313" s="7"/>
      <c r="B313" s="73" t="s">
        <v>109</v>
      </c>
      <c r="C313" s="125">
        <f>+H171</f>
        <v>4</v>
      </c>
      <c r="D313" t="s">
        <v>110</v>
      </c>
      <c r="E313" s="81"/>
      <c r="F313" s="84"/>
    </row>
    <row r="314" spans="1:15" x14ac:dyDescent="0.2">
      <c r="A314" s="7"/>
      <c r="B314" s="73"/>
      <c r="C314" s="125">
        <f>+H172</f>
        <v>8</v>
      </c>
      <c r="D314" t="s">
        <v>111</v>
      </c>
      <c r="E314" s="81"/>
      <c r="F314" s="84"/>
    </row>
    <row r="315" spans="1:15" x14ac:dyDescent="0.2">
      <c r="A315" s="7"/>
      <c r="B315" s="73" t="s">
        <v>112</v>
      </c>
      <c r="C315" s="85">
        <f>+E192</f>
        <v>21.411999999999999</v>
      </c>
      <c r="D315" t="s">
        <v>113</v>
      </c>
      <c r="E315" s="81"/>
      <c r="F315" s="84"/>
    </row>
    <row r="316" spans="1:15" x14ac:dyDescent="0.2">
      <c r="A316" s="7"/>
      <c r="B316" s="73" t="s">
        <v>114</v>
      </c>
      <c r="C316" s="18" t="s">
        <v>246</v>
      </c>
      <c r="E316" s="81"/>
      <c r="F316" s="84"/>
    </row>
    <row r="317" spans="1:15" x14ac:dyDescent="0.2">
      <c r="A317" s="7"/>
      <c r="B317" s="73"/>
      <c r="C317" s="257" t="s">
        <v>392</v>
      </c>
      <c r="E317" s="81"/>
      <c r="F317" s="84"/>
    </row>
    <row r="318" spans="1:15" x14ac:dyDescent="0.2">
      <c r="A318" s="7"/>
      <c r="B318" s="73" t="s">
        <v>115</v>
      </c>
      <c r="C318" s="12" t="str">
        <f>'BGS PTY25 Cost Alloc'!C$307</f>
        <v xml:space="preserve"> forecasted 2026 energy use by class based upon PJM on/off % from 2023 through 2025 class load information</v>
      </c>
      <c r="E318" s="81"/>
      <c r="F318" s="84"/>
    </row>
    <row r="319" spans="1:15" x14ac:dyDescent="0.2">
      <c r="A319" s="7"/>
      <c r="B319" s="73"/>
      <c r="C319" s="12" t="str">
        <f>'BGS PTY25 Cost Alloc'!C$308</f>
        <v xml:space="preserve">   JCP&amp;L billing on/off % from 2026 forecasted billing determinants</v>
      </c>
      <c r="E319" s="81"/>
      <c r="F319" s="84"/>
    </row>
    <row r="320" spans="1:15" x14ac:dyDescent="0.2">
      <c r="A320" s="7"/>
      <c r="B320" s="73" t="s">
        <v>116</v>
      </c>
      <c r="C320" s="12" t="str">
        <f>'BGS PTY25 Cost Alloc'!C$309</f>
        <v>class totals for 2026 excluding accounts required to take service under BGS-CIEP as of June 1, 2027</v>
      </c>
      <c r="E320" s="81"/>
      <c r="F320" s="84"/>
    </row>
    <row r="321" spans="1:12" x14ac:dyDescent="0.2">
      <c r="A321" s="7"/>
      <c r="B321" s="73" t="s">
        <v>117</v>
      </c>
      <c r="C321" t="s">
        <v>166</v>
      </c>
      <c r="E321" s="81"/>
      <c r="F321" s="84"/>
    </row>
    <row r="322" spans="1:12" x14ac:dyDescent="0.2">
      <c r="A322" s="7"/>
      <c r="B322" s="73" t="s">
        <v>118</v>
      </c>
      <c r="C322" t="s">
        <v>214</v>
      </c>
      <c r="E322" s="83"/>
      <c r="F322" s="84"/>
    </row>
    <row r="323" spans="1:12" x14ac:dyDescent="0.2">
      <c r="C323" t="s">
        <v>119</v>
      </c>
      <c r="E323" s="81"/>
      <c r="F323" s="84"/>
    </row>
    <row r="324" spans="1:12" x14ac:dyDescent="0.2">
      <c r="B324" s="73" t="s">
        <v>120</v>
      </c>
      <c r="C324" s="86" t="s">
        <v>189</v>
      </c>
      <c r="E324" s="81"/>
      <c r="F324" s="84"/>
    </row>
    <row r="325" spans="1:12" x14ac:dyDescent="0.2">
      <c r="A325" s="7"/>
      <c r="C325" s="86" t="s">
        <v>121</v>
      </c>
      <c r="E325" s="82"/>
    </row>
    <row r="326" spans="1:12" x14ac:dyDescent="0.2">
      <c r="C326" s="86" t="s">
        <v>188</v>
      </c>
    </row>
    <row r="327" spans="1:12" x14ac:dyDescent="0.2">
      <c r="A327" s="7"/>
      <c r="B327" s="289" t="s">
        <v>311</v>
      </c>
      <c r="C327" s="320" t="s">
        <v>312</v>
      </c>
      <c r="E327" s="114"/>
      <c r="F327" s="4"/>
    </row>
    <row r="328" spans="1:12" x14ac:dyDescent="0.2">
      <c r="A328" s="7"/>
      <c r="B328" t="str">
        <f>'BGS PTY25 Cost Alloc'!B318</f>
        <v xml:space="preserve"> </v>
      </c>
      <c r="C328" s="9"/>
      <c r="E328" s="114"/>
      <c r="F328" s="114"/>
    </row>
    <row r="333" spans="1:12" x14ac:dyDescent="0.2">
      <c r="L333" s="121"/>
    </row>
    <row r="342" spans="12:12" x14ac:dyDescent="0.2">
      <c r="L342" s="121"/>
    </row>
    <row r="343" spans="12:12" x14ac:dyDescent="0.2">
      <c r="L343" s="121"/>
    </row>
    <row r="344" spans="12:12" x14ac:dyDescent="0.2">
      <c r="L344" s="121"/>
    </row>
    <row r="345" spans="12:12" x14ac:dyDescent="0.2">
      <c r="L345" s="116"/>
    </row>
    <row r="346" spans="12:12" x14ac:dyDescent="0.2">
      <c r="L346" s="116"/>
    </row>
    <row r="347" spans="12:12" x14ac:dyDescent="0.2">
      <c r="L347" s="116"/>
    </row>
  </sheetData>
  <mergeCells count="16">
    <mergeCell ref="B144:L144"/>
    <mergeCell ref="B285:L285"/>
    <mergeCell ref="B286:L286"/>
    <mergeCell ref="B236:L236"/>
    <mergeCell ref="B237:L237"/>
    <mergeCell ref="B206:L206"/>
    <mergeCell ref="B207:L207"/>
    <mergeCell ref="B103:L103"/>
    <mergeCell ref="B104:L104"/>
    <mergeCell ref="B143:L143"/>
    <mergeCell ref="B1:L1"/>
    <mergeCell ref="B2:L2"/>
    <mergeCell ref="B52:L52"/>
    <mergeCell ref="B53:L53"/>
    <mergeCell ref="B5:L5"/>
    <mergeCell ref="B3:L3"/>
  </mergeCells>
  <phoneticPr fontId="34" type="noConversion"/>
  <pageMargins left="0.97" right="0.79" top="0.69" bottom="0.67" header="0.33" footer="0.5"/>
  <pageSetup scale="60" orientation="landscape" r:id="rId1"/>
  <headerFooter alignWithMargins="0">
    <oddFooter>&amp;L&amp;F    &amp;A&amp;CPage &amp;P of &amp;N&amp;R&amp;D</oddFooter>
  </headerFooter>
  <rowBreaks count="6" manualBreakCount="6">
    <brk id="51" max="11" man="1"/>
    <brk id="102" max="11" man="1"/>
    <brk id="142" max="11" man="1"/>
    <brk id="205" max="11" man="1"/>
    <brk id="235" max="11" man="1"/>
    <brk id="284" max="11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AY318"/>
  <sheetViews>
    <sheetView view="pageBreakPreview" zoomScaleNormal="69" zoomScaleSheetLayoutView="100" workbookViewId="0"/>
  </sheetViews>
  <sheetFormatPr defaultColWidth="9.140625" defaultRowHeight="12.75" x14ac:dyDescent="0.2"/>
  <cols>
    <col min="1" max="1" width="16.140625" style="12" customWidth="1"/>
    <col min="2" max="2" width="22.5703125" customWidth="1"/>
    <col min="3" max="3" width="14.5703125" customWidth="1"/>
    <col min="4" max="4" width="16.140625" customWidth="1"/>
    <col min="5" max="5" width="14.42578125" customWidth="1"/>
    <col min="6" max="7" width="16.140625" customWidth="1"/>
    <col min="8" max="8" width="15.140625" customWidth="1"/>
    <col min="9" max="9" width="14.5703125" customWidth="1"/>
    <col min="10" max="10" width="15.42578125" customWidth="1"/>
    <col min="11" max="11" width="4.85546875" customWidth="1"/>
    <col min="12" max="12" width="6.5703125" customWidth="1"/>
    <col min="13" max="13" width="20.85546875" hidden="1" customWidth="1"/>
    <col min="14" max="14" width="12.140625" hidden="1" customWidth="1"/>
    <col min="15" max="16" width="12.42578125" hidden="1" customWidth="1"/>
    <col min="17" max="17" width="15.5703125" hidden="1" customWidth="1"/>
    <col min="18" max="18" width="14.42578125" hidden="1" customWidth="1"/>
    <col min="19" max="19" width="14.85546875" hidden="1" customWidth="1"/>
    <col min="20" max="20" width="15.140625" hidden="1" customWidth="1"/>
    <col min="21" max="21" width="14.140625" hidden="1" customWidth="1"/>
    <col min="22" max="22" width="12.42578125" hidden="1" customWidth="1"/>
    <col min="23" max="23" width="13.42578125" hidden="1" customWidth="1"/>
    <col min="24" max="24" width="15.42578125" hidden="1" customWidth="1"/>
    <col min="25" max="25" width="12.85546875" hidden="1" customWidth="1"/>
    <col min="26" max="26" width="11.5703125" hidden="1" customWidth="1"/>
    <col min="27" max="27" width="12.5703125" hidden="1" customWidth="1"/>
    <col min="28" max="28" width="13.85546875" hidden="1" customWidth="1"/>
    <col min="29" max="29" width="15.5703125" hidden="1" customWidth="1"/>
    <col min="30" max="30" width="14.140625" hidden="1" customWidth="1"/>
    <col min="31" max="31" width="2.5703125" hidden="1" customWidth="1"/>
    <col min="32" max="32" width="12.5703125" hidden="1" customWidth="1"/>
    <col min="33" max="33" width="12" hidden="1" customWidth="1"/>
    <col min="34" max="34" width="13.42578125" hidden="1" customWidth="1"/>
    <col min="35" max="35" width="2" hidden="1" customWidth="1"/>
    <col min="36" max="36" width="11" hidden="1" customWidth="1"/>
    <col min="37" max="37" width="14.5703125" customWidth="1"/>
    <col min="38" max="38" width="12.42578125" customWidth="1"/>
    <col min="39" max="39" width="17.5703125" bestFit="1" customWidth="1"/>
    <col min="40" max="46" width="9.140625" customWidth="1"/>
    <col min="47" max="48" width="10.85546875" customWidth="1"/>
    <col min="49" max="49" width="12.42578125" customWidth="1"/>
    <col min="50" max="50" width="10.85546875" customWidth="1"/>
    <col min="51" max="51" width="11.42578125" customWidth="1"/>
  </cols>
  <sheetData>
    <row r="1" spans="1:26" ht="15.75" x14ac:dyDescent="0.25">
      <c r="B1" s="504" t="s">
        <v>69</v>
      </c>
      <c r="C1" s="504"/>
      <c r="D1" s="504"/>
      <c r="E1" s="504"/>
      <c r="F1" s="504"/>
      <c r="G1" s="504"/>
      <c r="H1" s="504"/>
      <c r="I1" s="504"/>
      <c r="J1" s="504"/>
      <c r="K1" s="504"/>
      <c r="L1" s="504"/>
    </row>
    <row r="2" spans="1:26" ht="15.75" x14ac:dyDescent="0.25">
      <c r="B2" s="504" t="s">
        <v>187</v>
      </c>
      <c r="C2" s="504"/>
      <c r="D2" s="504"/>
      <c r="E2" s="504"/>
      <c r="F2" s="504"/>
      <c r="G2" s="504"/>
      <c r="H2" s="504"/>
      <c r="I2" s="504"/>
      <c r="J2" s="504"/>
      <c r="K2" s="504"/>
      <c r="L2" s="504"/>
    </row>
    <row r="3" spans="1:26" ht="15.75" x14ac:dyDescent="0.25">
      <c r="B3" s="508" t="s">
        <v>381</v>
      </c>
      <c r="C3" s="508"/>
      <c r="D3" s="508"/>
      <c r="E3" s="508"/>
      <c r="F3" s="508"/>
      <c r="G3" s="508"/>
      <c r="H3" s="508"/>
      <c r="I3" s="508"/>
      <c r="J3" s="508"/>
      <c r="K3" s="508"/>
      <c r="L3" s="508"/>
    </row>
    <row r="4" spans="1:26" ht="15.75" x14ac:dyDescent="0.25"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</row>
    <row r="5" spans="1:26" ht="15.75" x14ac:dyDescent="0.25">
      <c r="B5" s="508" t="s">
        <v>382</v>
      </c>
      <c r="C5" s="508"/>
      <c r="D5" s="508"/>
      <c r="E5" s="508"/>
      <c r="F5" s="508"/>
      <c r="G5" s="508"/>
      <c r="H5" s="508"/>
      <c r="I5" s="508"/>
      <c r="J5" s="508"/>
      <c r="K5" s="508"/>
      <c r="L5" s="508"/>
    </row>
    <row r="8" spans="1:26" ht="15.75" x14ac:dyDescent="0.25">
      <c r="B8" s="13" t="s">
        <v>50</v>
      </c>
    </row>
    <row r="9" spans="1:26" x14ac:dyDescent="0.2">
      <c r="A9" s="14"/>
      <c r="B9" s="1" t="s">
        <v>45</v>
      </c>
    </row>
    <row r="10" spans="1:26" x14ac:dyDescent="0.2">
      <c r="E10" s="15" t="s">
        <v>383</v>
      </c>
      <c r="F10" s="74"/>
      <c r="G10" s="74"/>
      <c r="H10" s="74"/>
    </row>
    <row r="11" spans="1:26" x14ac:dyDescent="0.2">
      <c r="A11" s="6" t="s">
        <v>30</v>
      </c>
      <c r="B11" s="16" t="s">
        <v>47</v>
      </c>
      <c r="C11" s="17"/>
      <c r="E11" s="15" t="s">
        <v>27</v>
      </c>
      <c r="N11" s="16"/>
      <c r="P11" s="18"/>
      <c r="Q11" s="16" t="s">
        <v>212</v>
      </c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25.5" x14ac:dyDescent="0.2">
      <c r="A12" s="7"/>
      <c r="B12" s="409"/>
      <c r="C12" s="19"/>
      <c r="D12" s="19"/>
      <c r="E12" s="19" t="s">
        <v>24</v>
      </c>
      <c r="F12" s="19" t="s">
        <v>24</v>
      </c>
      <c r="G12" s="19" t="s">
        <v>24</v>
      </c>
      <c r="H12" s="19" t="s">
        <v>24</v>
      </c>
      <c r="I12" s="19" t="s">
        <v>56</v>
      </c>
      <c r="L12" s="19"/>
      <c r="M12" s="19"/>
      <c r="N12" s="15"/>
      <c r="O12" s="19"/>
      <c r="P12" s="19"/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56</v>
      </c>
      <c r="W12" s="19"/>
      <c r="X12" s="19"/>
      <c r="Y12" s="19"/>
      <c r="Z12" s="19"/>
    </row>
    <row r="13" spans="1:26" x14ac:dyDescent="0.2">
      <c r="A13" s="7"/>
      <c r="B13" s="20" t="s">
        <v>190</v>
      </c>
      <c r="C13" s="21"/>
      <c r="D13" s="21"/>
      <c r="E13" s="2" t="s">
        <v>61</v>
      </c>
      <c r="F13" s="2" t="s">
        <v>62</v>
      </c>
      <c r="G13" s="2" t="s">
        <v>65</v>
      </c>
      <c r="H13" s="2" t="s">
        <v>54</v>
      </c>
      <c r="I13" s="2" t="s">
        <v>55</v>
      </c>
      <c r="J13" s="21"/>
      <c r="K13" s="21"/>
      <c r="L13" s="21"/>
      <c r="M13" s="21"/>
      <c r="N13" s="22"/>
      <c r="O13" s="2"/>
      <c r="P13" s="2"/>
      <c r="Q13" s="2" t="str">
        <f>+E13</f>
        <v>RT{1}</v>
      </c>
      <c r="R13" s="2" t="str">
        <f>+F13</f>
        <v>RS{2}</v>
      </c>
      <c r="S13" s="2" t="str">
        <f>+G13</f>
        <v>GS{3}</v>
      </c>
      <c r="T13" s="2" t="str">
        <f>+H13</f>
        <v>GST</v>
      </c>
      <c r="U13" s="2" t="str">
        <f>+I13</f>
        <v>OL/SL</v>
      </c>
      <c r="V13" s="2"/>
      <c r="W13" s="2"/>
      <c r="X13" s="2"/>
      <c r="Y13" s="2"/>
      <c r="Z13" s="2"/>
    </row>
    <row r="14" spans="1:26" x14ac:dyDescent="0.2">
      <c r="A14" s="7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x14ac:dyDescent="0.2">
      <c r="A15" s="7"/>
      <c r="B15" s="23" t="s">
        <v>1</v>
      </c>
      <c r="C15" s="24"/>
      <c r="D15" s="24"/>
      <c r="E15" s="415">
        <v>0.4788</v>
      </c>
      <c r="F15" s="415">
        <v>0.4914</v>
      </c>
      <c r="G15" s="415">
        <v>0.50690000000000002</v>
      </c>
      <c r="H15" s="415">
        <v>0.50780000000000003</v>
      </c>
      <c r="I15" s="415">
        <v>0.3115</v>
      </c>
      <c r="J15" s="24"/>
      <c r="K15" s="24"/>
      <c r="L15" s="25"/>
      <c r="M15" s="25"/>
      <c r="N15" s="26"/>
      <c r="O15" s="27"/>
      <c r="P15" s="27"/>
      <c r="Q15" s="27">
        <f t="shared" ref="Q15:Q26" si="0">1-E15</f>
        <v>0.5212</v>
      </c>
      <c r="R15" s="27">
        <f t="shared" ref="R15:R26" si="1">1-F15</f>
        <v>0.50859999999999994</v>
      </c>
      <c r="S15" s="27">
        <f t="shared" ref="S15:S26" si="2">1-G15</f>
        <v>0.49309999999999998</v>
      </c>
      <c r="T15" s="27">
        <f t="shared" ref="T15:T26" si="3">1-H15</f>
        <v>0.49219999999999997</v>
      </c>
      <c r="U15" s="27">
        <f t="shared" ref="U15:U26" si="4">1-I15</f>
        <v>0.6885</v>
      </c>
      <c r="V15" s="27"/>
      <c r="W15" s="27"/>
      <c r="X15" s="27"/>
      <c r="Y15" s="27"/>
      <c r="Z15" s="27"/>
    </row>
    <row r="16" spans="1:26" x14ac:dyDescent="0.2">
      <c r="A16" s="7"/>
      <c r="B16" s="23" t="s">
        <v>2</v>
      </c>
      <c r="C16" s="24"/>
      <c r="D16" s="24"/>
      <c r="E16" s="415">
        <v>0.47770000000000001</v>
      </c>
      <c r="F16" s="415">
        <v>0.49440000000000001</v>
      </c>
      <c r="G16" s="415">
        <v>0.51080000000000003</v>
      </c>
      <c r="H16" s="415">
        <v>0.51249999999999996</v>
      </c>
      <c r="I16" s="415">
        <v>0.29399999999999998</v>
      </c>
      <c r="J16" s="24"/>
      <c r="K16" s="24"/>
      <c r="L16" s="25"/>
      <c r="M16" s="25"/>
      <c r="N16" s="26"/>
      <c r="O16" s="27"/>
      <c r="P16" s="27"/>
      <c r="Q16" s="27">
        <f t="shared" si="0"/>
        <v>0.52229999999999999</v>
      </c>
      <c r="R16" s="27">
        <f t="shared" si="1"/>
        <v>0.50560000000000005</v>
      </c>
      <c r="S16" s="27">
        <f t="shared" si="2"/>
        <v>0.48919999999999997</v>
      </c>
      <c r="T16" s="27">
        <f t="shared" si="3"/>
        <v>0.48750000000000004</v>
      </c>
      <c r="U16" s="27">
        <f t="shared" si="4"/>
        <v>0.70599999999999996</v>
      </c>
      <c r="V16" s="27"/>
      <c r="W16" s="27"/>
      <c r="X16" s="27"/>
      <c r="Y16" s="27"/>
      <c r="Z16" s="27"/>
    </row>
    <row r="17" spans="1:26" x14ac:dyDescent="0.2">
      <c r="A17" s="7"/>
      <c r="B17" s="23" t="s">
        <v>3</v>
      </c>
      <c r="C17" s="24"/>
      <c r="D17" s="24"/>
      <c r="E17" s="415">
        <v>0.48670000000000002</v>
      </c>
      <c r="F17" s="415">
        <v>0.50349999999999995</v>
      </c>
      <c r="G17" s="415">
        <v>0.51949999999999996</v>
      </c>
      <c r="H17" s="415">
        <v>0.50170000000000003</v>
      </c>
      <c r="I17" s="415">
        <v>0.28539999999999999</v>
      </c>
      <c r="J17" s="24"/>
      <c r="K17" s="24"/>
      <c r="L17" s="25"/>
      <c r="M17" s="25"/>
      <c r="N17" s="26"/>
      <c r="O17" s="27"/>
      <c r="P17" s="27"/>
      <c r="Q17" s="27">
        <f t="shared" si="0"/>
        <v>0.51329999999999998</v>
      </c>
      <c r="R17" s="27">
        <f t="shared" si="1"/>
        <v>0.49650000000000005</v>
      </c>
      <c r="S17" s="27">
        <f t="shared" si="2"/>
        <v>0.48050000000000004</v>
      </c>
      <c r="T17" s="27">
        <f t="shared" si="3"/>
        <v>0.49829999999999997</v>
      </c>
      <c r="U17" s="27">
        <f t="shared" si="4"/>
        <v>0.71460000000000001</v>
      </c>
      <c r="V17" s="27"/>
      <c r="W17" s="27"/>
      <c r="X17" s="27"/>
      <c r="Y17" s="27"/>
      <c r="Z17" s="27"/>
    </row>
    <row r="18" spans="1:26" x14ac:dyDescent="0.2">
      <c r="A18" s="7"/>
      <c r="B18" s="23" t="s">
        <v>4</v>
      </c>
      <c r="C18" s="24"/>
      <c r="D18" s="24"/>
      <c r="E18" s="415">
        <v>0.47789999999999999</v>
      </c>
      <c r="F18" s="415">
        <v>0.50029999999999997</v>
      </c>
      <c r="G18" s="415">
        <v>0.51390000000000002</v>
      </c>
      <c r="H18" s="415">
        <v>0.53129999999999999</v>
      </c>
      <c r="I18" s="415">
        <v>0.29039999999999999</v>
      </c>
      <c r="J18" s="24"/>
      <c r="K18" s="24"/>
      <c r="L18" s="25"/>
      <c r="M18" s="25"/>
      <c r="N18" s="26"/>
      <c r="O18" s="27"/>
      <c r="P18" s="27"/>
      <c r="Q18" s="27">
        <f t="shared" si="0"/>
        <v>0.52210000000000001</v>
      </c>
      <c r="R18" s="27">
        <f t="shared" si="1"/>
        <v>0.49970000000000003</v>
      </c>
      <c r="S18" s="27">
        <f t="shared" si="2"/>
        <v>0.48609999999999998</v>
      </c>
      <c r="T18" s="27">
        <f t="shared" si="3"/>
        <v>0.46870000000000001</v>
      </c>
      <c r="U18" s="27">
        <f t="shared" si="4"/>
        <v>0.70960000000000001</v>
      </c>
      <c r="V18" s="27"/>
      <c r="W18" s="27"/>
      <c r="X18" s="27"/>
      <c r="Y18" s="27"/>
      <c r="Z18" s="27"/>
    </row>
    <row r="19" spans="1:26" x14ac:dyDescent="0.2">
      <c r="A19" s="7"/>
      <c r="B19" s="23" t="s">
        <v>5</v>
      </c>
      <c r="C19" s="24"/>
      <c r="D19" s="24"/>
      <c r="E19" s="415">
        <v>0.47639999999999999</v>
      </c>
      <c r="F19" s="415">
        <v>0.49430000000000002</v>
      </c>
      <c r="G19" s="415">
        <v>0.5121</v>
      </c>
      <c r="H19" s="415">
        <v>0.50749999999999995</v>
      </c>
      <c r="I19" s="415">
        <v>0.2823</v>
      </c>
      <c r="J19" s="24"/>
      <c r="K19" s="24"/>
      <c r="L19" s="25"/>
      <c r="M19" s="25"/>
      <c r="N19" s="26"/>
      <c r="O19" s="27"/>
      <c r="P19" s="27"/>
      <c r="Q19" s="27">
        <f t="shared" si="0"/>
        <v>0.52360000000000007</v>
      </c>
      <c r="R19" s="27">
        <f t="shared" si="1"/>
        <v>0.50570000000000004</v>
      </c>
      <c r="S19" s="27">
        <f t="shared" si="2"/>
        <v>0.4879</v>
      </c>
      <c r="T19" s="27">
        <f t="shared" si="3"/>
        <v>0.49250000000000005</v>
      </c>
      <c r="U19" s="27">
        <f t="shared" si="4"/>
        <v>0.7177</v>
      </c>
      <c r="V19" s="27"/>
      <c r="W19" s="27"/>
      <c r="X19" s="27"/>
      <c r="Y19" s="27"/>
      <c r="Z19" s="27"/>
    </row>
    <row r="20" spans="1:26" x14ac:dyDescent="0.2">
      <c r="A20" s="7"/>
      <c r="B20" s="154" t="s">
        <v>6</v>
      </c>
      <c r="C20" s="174"/>
      <c r="D20" s="174"/>
      <c r="E20" s="416">
        <v>0.52349999999999997</v>
      </c>
      <c r="F20" s="416">
        <v>0.54020000000000001</v>
      </c>
      <c r="G20" s="416">
        <v>0.55489999999999995</v>
      </c>
      <c r="H20" s="416">
        <v>0.55279999999999996</v>
      </c>
      <c r="I20" s="417">
        <v>0.27329999999999999</v>
      </c>
      <c r="J20" s="24"/>
      <c r="K20" s="24"/>
      <c r="L20" s="25"/>
      <c r="M20" s="25"/>
      <c r="N20" s="26"/>
      <c r="O20" s="27"/>
      <c r="P20" s="27"/>
      <c r="Q20" s="27">
        <f t="shared" si="0"/>
        <v>0.47650000000000003</v>
      </c>
      <c r="R20" s="27">
        <f t="shared" si="1"/>
        <v>0.45979999999999999</v>
      </c>
      <c r="S20" s="27">
        <f t="shared" si="2"/>
        <v>0.44510000000000005</v>
      </c>
      <c r="T20" s="27">
        <f t="shared" si="3"/>
        <v>0.44720000000000004</v>
      </c>
      <c r="U20" s="27">
        <f t="shared" si="4"/>
        <v>0.72670000000000001</v>
      </c>
      <c r="V20" s="27"/>
      <c r="W20" s="27"/>
      <c r="X20" s="27"/>
      <c r="Y20" s="27"/>
      <c r="Z20" s="27"/>
    </row>
    <row r="21" spans="1:26" x14ac:dyDescent="0.2">
      <c r="A21" s="7"/>
      <c r="B21" s="158" t="s">
        <v>7</v>
      </c>
      <c r="C21" s="152"/>
      <c r="D21" s="152"/>
      <c r="E21" s="418">
        <v>0.52300000000000002</v>
      </c>
      <c r="F21" s="418">
        <v>0.53700000000000003</v>
      </c>
      <c r="G21" s="418">
        <v>0.55510000000000004</v>
      </c>
      <c r="H21" s="418">
        <v>0.56169999999999998</v>
      </c>
      <c r="I21" s="419">
        <v>0.26440000000000002</v>
      </c>
      <c r="J21" s="24"/>
      <c r="K21" s="24"/>
      <c r="L21" s="25"/>
      <c r="M21" s="25"/>
      <c r="N21" s="26"/>
      <c r="O21" s="27"/>
      <c r="P21" s="27"/>
      <c r="Q21" s="27">
        <f t="shared" si="0"/>
        <v>0.47699999999999998</v>
      </c>
      <c r="R21" s="27">
        <f t="shared" si="1"/>
        <v>0.46299999999999997</v>
      </c>
      <c r="S21" s="27">
        <f t="shared" si="2"/>
        <v>0.44489999999999996</v>
      </c>
      <c r="T21" s="27">
        <f t="shared" si="3"/>
        <v>0.43830000000000002</v>
      </c>
      <c r="U21" s="27">
        <f t="shared" si="4"/>
        <v>0.73560000000000003</v>
      </c>
      <c r="V21" s="27"/>
      <c r="W21" s="27"/>
      <c r="X21" s="27"/>
      <c r="Y21" s="27"/>
      <c r="Z21" s="27"/>
    </row>
    <row r="22" spans="1:26" x14ac:dyDescent="0.2">
      <c r="A22" s="7"/>
      <c r="B22" s="158" t="s">
        <v>8</v>
      </c>
      <c r="C22" s="152"/>
      <c r="D22" s="152"/>
      <c r="E22" s="418">
        <v>0.51600000000000001</v>
      </c>
      <c r="F22" s="418">
        <v>0.5292</v>
      </c>
      <c r="G22" s="418">
        <v>0.55649999999999999</v>
      </c>
      <c r="H22" s="418">
        <v>0.55489999999999995</v>
      </c>
      <c r="I22" s="419">
        <v>0.28260000000000002</v>
      </c>
      <c r="J22" s="24"/>
      <c r="K22" s="24"/>
      <c r="L22" s="25"/>
      <c r="M22" s="25"/>
      <c r="N22" s="26"/>
      <c r="O22" s="27"/>
      <c r="P22" s="27"/>
      <c r="Q22" s="27">
        <f t="shared" si="0"/>
        <v>0.48399999999999999</v>
      </c>
      <c r="R22" s="27">
        <f t="shared" si="1"/>
        <v>0.4708</v>
      </c>
      <c r="S22" s="27">
        <f t="shared" si="2"/>
        <v>0.44350000000000001</v>
      </c>
      <c r="T22" s="27">
        <f t="shared" si="3"/>
        <v>0.44510000000000005</v>
      </c>
      <c r="U22" s="27">
        <f t="shared" si="4"/>
        <v>0.71740000000000004</v>
      </c>
      <c r="V22" s="27"/>
      <c r="W22" s="27"/>
      <c r="X22" s="27"/>
      <c r="Y22" s="27"/>
      <c r="Z22" s="27"/>
    </row>
    <row r="23" spans="1:26" x14ac:dyDescent="0.2">
      <c r="A23" s="7"/>
      <c r="B23" s="160" t="s">
        <v>9</v>
      </c>
      <c r="C23" s="175"/>
      <c r="D23" s="175"/>
      <c r="E23" s="420">
        <v>0.47989999999999999</v>
      </c>
      <c r="F23" s="420">
        <v>0.49609999999999999</v>
      </c>
      <c r="G23" s="420">
        <v>0.53520000000000001</v>
      </c>
      <c r="H23" s="420">
        <v>0.55410000000000004</v>
      </c>
      <c r="I23" s="421">
        <v>0.28689999999999999</v>
      </c>
      <c r="J23" s="24"/>
      <c r="K23" s="24"/>
      <c r="L23" s="25"/>
      <c r="M23" s="25"/>
      <c r="N23" s="26"/>
      <c r="O23" s="27"/>
      <c r="P23" s="27"/>
      <c r="Q23" s="27">
        <f t="shared" si="0"/>
        <v>0.52010000000000001</v>
      </c>
      <c r="R23" s="27">
        <f t="shared" si="1"/>
        <v>0.50390000000000001</v>
      </c>
      <c r="S23" s="27">
        <f t="shared" si="2"/>
        <v>0.46479999999999999</v>
      </c>
      <c r="T23" s="27">
        <f t="shared" si="3"/>
        <v>0.44589999999999996</v>
      </c>
      <c r="U23" s="27">
        <f t="shared" si="4"/>
        <v>0.71310000000000007</v>
      </c>
      <c r="V23" s="27"/>
      <c r="W23" s="27"/>
      <c r="X23" s="27"/>
      <c r="Y23" s="27"/>
      <c r="Z23" s="27"/>
    </row>
    <row r="24" spans="1:26" x14ac:dyDescent="0.2">
      <c r="A24" s="7"/>
      <c r="B24" s="23" t="s">
        <v>10</v>
      </c>
      <c r="C24" s="24"/>
      <c r="D24" s="24"/>
      <c r="E24" s="415">
        <v>0.50490000000000002</v>
      </c>
      <c r="F24" s="415">
        <v>0.52500000000000002</v>
      </c>
      <c r="G24" s="415">
        <v>0.56369999999999998</v>
      </c>
      <c r="H24" s="415">
        <v>0.59209999999999996</v>
      </c>
      <c r="I24" s="415">
        <v>0.32419999999999999</v>
      </c>
      <c r="J24" s="24"/>
      <c r="K24" s="24"/>
      <c r="L24" s="25"/>
      <c r="M24" s="25"/>
      <c r="N24" s="26"/>
      <c r="O24" s="27"/>
      <c r="P24" s="27"/>
      <c r="Q24" s="27">
        <f t="shared" si="0"/>
        <v>0.49509999999999998</v>
      </c>
      <c r="R24" s="27">
        <f t="shared" si="1"/>
        <v>0.47499999999999998</v>
      </c>
      <c r="S24" s="27">
        <f t="shared" si="2"/>
        <v>0.43630000000000002</v>
      </c>
      <c r="T24" s="27">
        <f t="shared" si="3"/>
        <v>0.40790000000000004</v>
      </c>
      <c r="U24" s="27">
        <f t="shared" si="4"/>
        <v>0.67579999999999996</v>
      </c>
      <c r="V24" s="27"/>
      <c r="W24" s="27"/>
      <c r="X24" s="27"/>
      <c r="Y24" s="27"/>
      <c r="Z24" s="27"/>
    </row>
    <row r="25" spans="1:26" x14ac:dyDescent="0.2">
      <c r="A25" s="7"/>
      <c r="B25" s="23" t="s">
        <v>11</v>
      </c>
      <c r="C25" s="24"/>
      <c r="D25" s="24"/>
      <c r="E25" s="415">
        <v>0.45119999999999999</v>
      </c>
      <c r="F25" s="415">
        <v>0.47310000000000002</v>
      </c>
      <c r="G25" s="415">
        <v>0.51080000000000003</v>
      </c>
      <c r="H25" s="415">
        <v>0.52390000000000003</v>
      </c>
      <c r="I25" s="415">
        <v>0.29620000000000002</v>
      </c>
      <c r="J25" s="24"/>
      <c r="K25" s="24"/>
      <c r="L25" s="25"/>
      <c r="M25" s="25"/>
      <c r="N25" s="26"/>
      <c r="O25" s="27"/>
      <c r="P25" s="27"/>
      <c r="Q25" s="27">
        <f t="shared" si="0"/>
        <v>0.54879999999999995</v>
      </c>
      <c r="R25" s="27">
        <f t="shared" si="1"/>
        <v>0.52689999999999992</v>
      </c>
      <c r="S25" s="27">
        <f t="shared" si="2"/>
        <v>0.48919999999999997</v>
      </c>
      <c r="T25" s="27">
        <f t="shared" si="3"/>
        <v>0.47609999999999997</v>
      </c>
      <c r="U25" s="27">
        <f t="shared" si="4"/>
        <v>0.70379999999999998</v>
      </c>
      <c r="V25" s="27"/>
      <c r="W25" s="27"/>
      <c r="X25" s="27"/>
      <c r="Y25" s="27"/>
      <c r="Z25" s="27"/>
    </row>
    <row r="26" spans="1:26" x14ac:dyDescent="0.2">
      <c r="A26" s="7"/>
      <c r="B26" s="23" t="s">
        <v>12</v>
      </c>
      <c r="C26" s="24"/>
      <c r="D26" s="24"/>
      <c r="E26" s="415">
        <v>0.45829999999999999</v>
      </c>
      <c r="F26" s="415">
        <v>0.47839999999999999</v>
      </c>
      <c r="G26" s="415">
        <v>0.50939999999999996</v>
      </c>
      <c r="H26" s="415">
        <v>0.53669999999999995</v>
      </c>
      <c r="I26" s="415">
        <v>0.30499999999999999</v>
      </c>
      <c r="J26" s="24"/>
      <c r="K26" s="24"/>
      <c r="L26" s="25"/>
      <c r="M26" s="25"/>
      <c r="N26" s="26"/>
      <c r="O26" s="27"/>
      <c r="P26" s="27"/>
      <c r="Q26" s="27">
        <f t="shared" si="0"/>
        <v>0.54170000000000007</v>
      </c>
      <c r="R26" s="27">
        <f t="shared" si="1"/>
        <v>0.52160000000000006</v>
      </c>
      <c r="S26" s="27">
        <f t="shared" si="2"/>
        <v>0.49060000000000004</v>
      </c>
      <c r="T26" s="27">
        <f t="shared" si="3"/>
        <v>0.46330000000000005</v>
      </c>
      <c r="U26" s="27">
        <f t="shared" si="4"/>
        <v>0.69500000000000006</v>
      </c>
      <c r="V26" s="27"/>
      <c r="W26" s="27"/>
      <c r="X26" s="27"/>
      <c r="Y26" s="27"/>
      <c r="Z26" s="27"/>
    </row>
    <row r="27" spans="1:26" x14ac:dyDescent="0.2">
      <c r="A27" s="7"/>
      <c r="B27" s="23"/>
      <c r="C27" s="26"/>
      <c r="D27" s="26"/>
      <c r="E27" s="26"/>
      <c r="F27" s="26"/>
      <c r="G27" s="26"/>
      <c r="H27" s="26"/>
      <c r="I27" s="28"/>
      <c r="J27" s="28"/>
      <c r="K27" s="28"/>
      <c r="L27" s="26"/>
      <c r="M27" s="26"/>
      <c r="N27" s="26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x14ac:dyDescent="0.2">
      <c r="A28" s="7"/>
      <c r="B28" s="23"/>
      <c r="C28" s="26"/>
      <c r="D28" s="26"/>
      <c r="E28" s="26"/>
      <c r="F28" s="26"/>
      <c r="G28" s="26"/>
      <c r="H28" s="26"/>
      <c r="I28" s="26"/>
      <c r="J28" s="28"/>
      <c r="K28" s="28"/>
      <c r="L28" s="26"/>
      <c r="M28" s="26"/>
      <c r="N28" s="26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x14ac:dyDescent="0.2">
      <c r="A29" s="6" t="s">
        <v>31</v>
      </c>
      <c r="B29" s="16" t="s">
        <v>57</v>
      </c>
      <c r="C29" s="26"/>
      <c r="D29" s="26"/>
      <c r="E29" s="26"/>
      <c r="F29" s="29" t="s">
        <v>46</v>
      </c>
      <c r="G29" s="26"/>
      <c r="H29" s="26"/>
      <c r="I29" s="28"/>
      <c r="J29" s="28"/>
      <c r="K29" s="28"/>
      <c r="L29" s="26"/>
      <c r="M29" s="26"/>
      <c r="N29" s="26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53.25" customHeight="1" x14ac:dyDescent="0.2">
      <c r="A30" s="7"/>
      <c r="C30" s="19"/>
      <c r="D30" s="19"/>
      <c r="E30" s="153" t="s">
        <v>384</v>
      </c>
      <c r="F30" s="19" t="s">
        <v>39</v>
      </c>
      <c r="G30" s="19" t="s">
        <v>39</v>
      </c>
      <c r="H30" s="153" t="s">
        <v>384</v>
      </c>
      <c r="I30" s="19" t="s">
        <v>39</v>
      </c>
      <c r="J30" s="19"/>
      <c r="K30" s="19"/>
      <c r="L30" s="19"/>
      <c r="M30" s="509"/>
      <c r="N30" s="509"/>
      <c r="O30" s="19"/>
      <c r="P30" s="19"/>
      <c r="Q30" s="153" t="str">
        <f>E30</f>
        <v>2026 Forecasted Calendar Month Sales</v>
      </c>
      <c r="R30" s="19" t="s">
        <v>39</v>
      </c>
      <c r="S30" s="19" t="s">
        <v>39</v>
      </c>
      <c r="T30" s="153" t="str">
        <f>H30</f>
        <v>2026 Forecasted Calendar Month Sales</v>
      </c>
      <c r="U30" s="19" t="s">
        <v>39</v>
      </c>
      <c r="V30" s="19"/>
      <c r="W30" s="19"/>
      <c r="X30" s="19"/>
      <c r="Y30" s="19"/>
      <c r="Z30" s="19"/>
    </row>
    <row r="31" spans="1:26" x14ac:dyDescent="0.2">
      <c r="A31" s="7"/>
      <c r="B31" s="20" t="s">
        <v>190</v>
      </c>
      <c r="C31" s="2"/>
      <c r="D31" s="2"/>
      <c r="E31" s="2" t="str">
        <f>+E$13</f>
        <v>RT{1}</v>
      </c>
      <c r="F31" s="2" t="str">
        <f>+F$13</f>
        <v>RS{2}</v>
      </c>
      <c r="G31" s="2" t="str">
        <f>+G$13</f>
        <v>GS{3}</v>
      </c>
      <c r="H31" s="2" t="str">
        <f>+H$13</f>
        <v>GST</v>
      </c>
      <c r="I31" s="2" t="str">
        <f>+I$13</f>
        <v>OL/SL</v>
      </c>
      <c r="J31" s="2"/>
      <c r="K31" s="2"/>
      <c r="L31" s="2"/>
      <c r="M31" s="2"/>
      <c r="N31" s="22"/>
      <c r="O31" s="2"/>
      <c r="P31" s="2"/>
      <c r="Q31" s="2" t="str">
        <f>+Q$13</f>
        <v>RT{1}</v>
      </c>
      <c r="R31" s="2" t="str">
        <f>+R$13</f>
        <v>RS{2}</v>
      </c>
      <c r="S31" s="2" t="str">
        <f>+S$13</f>
        <v>GS{3}</v>
      </c>
      <c r="T31" s="2" t="str">
        <f>+T$13</f>
        <v>GST</v>
      </c>
      <c r="U31" s="2" t="str">
        <f>+U$13</f>
        <v>OL/SL</v>
      </c>
      <c r="V31" s="2"/>
      <c r="W31" s="2"/>
      <c r="X31" s="2"/>
      <c r="Y31" s="2"/>
      <c r="Z31" s="2"/>
    </row>
    <row r="32" spans="1:26" x14ac:dyDescent="0.2">
      <c r="A32" s="7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x14ac:dyDescent="0.2">
      <c r="A33" s="7"/>
      <c r="B33" s="23" t="s">
        <v>1</v>
      </c>
      <c r="C33" s="30"/>
      <c r="D33" s="112"/>
      <c r="E33" s="363">
        <v>0.34970000000000001</v>
      </c>
      <c r="F33" s="133" t="s">
        <v>40</v>
      </c>
      <c r="G33" s="133" t="s">
        <v>40</v>
      </c>
      <c r="H33" s="364">
        <v>0.41710000000000003</v>
      </c>
      <c r="I33" s="133" t="s">
        <v>40</v>
      </c>
      <c r="J33" s="30"/>
      <c r="K33" s="30"/>
      <c r="L33" s="30"/>
      <c r="M33" s="25"/>
      <c r="N33" s="26"/>
      <c r="O33" s="27"/>
      <c r="P33" s="27"/>
      <c r="Q33" s="27">
        <f t="shared" ref="Q33:Q44" si="5">1-E33</f>
        <v>0.65029999999999999</v>
      </c>
      <c r="R33" s="27"/>
      <c r="S33" s="27"/>
      <c r="T33" s="27">
        <f t="shared" ref="T33:T44" si="6">1-H33</f>
        <v>0.58289999999999997</v>
      </c>
      <c r="U33" s="27"/>
      <c r="V33" s="27"/>
      <c r="W33" s="27"/>
      <c r="X33" s="27"/>
      <c r="Y33" s="27"/>
      <c r="Z33" s="27"/>
    </row>
    <row r="34" spans="1:26" x14ac:dyDescent="0.2">
      <c r="A34" s="7"/>
      <c r="B34" s="23" t="s">
        <v>2</v>
      </c>
      <c r="C34" s="30"/>
      <c r="D34" s="112"/>
      <c r="E34" s="363">
        <v>0.34279999999999999</v>
      </c>
      <c r="F34" s="133" t="s">
        <v>40</v>
      </c>
      <c r="G34" s="133" t="s">
        <v>40</v>
      </c>
      <c r="H34" s="364">
        <v>0.41860000000000003</v>
      </c>
      <c r="I34" s="133" t="s">
        <v>40</v>
      </c>
      <c r="J34" s="30"/>
      <c r="K34" s="30"/>
      <c r="L34" s="30"/>
      <c r="M34" s="25"/>
      <c r="N34" s="26"/>
      <c r="O34" s="27"/>
      <c r="P34" s="27"/>
      <c r="Q34" s="27">
        <f t="shared" si="5"/>
        <v>0.65720000000000001</v>
      </c>
      <c r="R34" s="27"/>
      <c r="S34" s="27"/>
      <c r="T34" s="27">
        <f t="shared" si="6"/>
        <v>0.58139999999999992</v>
      </c>
      <c r="U34" s="27"/>
      <c r="V34" s="27"/>
      <c r="W34" s="27"/>
      <c r="X34" s="27"/>
      <c r="Y34" s="27"/>
      <c r="Z34" s="27"/>
    </row>
    <row r="35" spans="1:26" x14ac:dyDescent="0.2">
      <c r="A35" s="7"/>
      <c r="B35" s="23" t="s">
        <v>3</v>
      </c>
      <c r="C35" s="30"/>
      <c r="D35" s="112"/>
      <c r="E35" s="363">
        <v>0.33939999999999998</v>
      </c>
      <c r="F35" s="133" t="s">
        <v>40</v>
      </c>
      <c r="G35" s="133" t="s">
        <v>40</v>
      </c>
      <c r="H35" s="364">
        <v>0.41839999999999999</v>
      </c>
      <c r="I35" s="133" t="s">
        <v>40</v>
      </c>
      <c r="J35" s="30"/>
      <c r="K35" s="30"/>
      <c r="L35" s="30"/>
      <c r="M35" s="25"/>
      <c r="N35" s="26"/>
      <c r="O35" s="27"/>
      <c r="P35" s="27"/>
      <c r="Q35" s="27">
        <f t="shared" si="5"/>
        <v>0.66060000000000008</v>
      </c>
      <c r="R35" s="27"/>
      <c r="S35" s="27"/>
      <c r="T35" s="27">
        <f t="shared" si="6"/>
        <v>0.58160000000000001</v>
      </c>
      <c r="U35" s="27"/>
      <c r="V35" s="27"/>
      <c r="W35" s="27"/>
      <c r="X35" s="27"/>
      <c r="Y35" s="27"/>
      <c r="Z35" s="27"/>
    </row>
    <row r="36" spans="1:26" x14ac:dyDescent="0.2">
      <c r="A36" s="7"/>
      <c r="B36" s="23" t="s">
        <v>4</v>
      </c>
      <c r="C36" s="30"/>
      <c r="D36" s="112"/>
      <c r="E36" s="363">
        <v>0.34939999999999999</v>
      </c>
      <c r="F36" s="133" t="s">
        <v>40</v>
      </c>
      <c r="G36" s="133" t="s">
        <v>40</v>
      </c>
      <c r="H36" s="364">
        <v>0.42859999999999998</v>
      </c>
      <c r="I36" s="133" t="s">
        <v>40</v>
      </c>
      <c r="J36" s="30"/>
      <c r="K36" s="30"/>
      <c r="L36" s="30"/>
      <c r="M36" s="25"/>
      <c r="N36" s="26"/>
      <c r="O36" s="27"/>
      <c r="P36" s="27"/>
      <c r="Q36" s="27">
        <f t="shared" si="5"/>
        <v>0.65060000000000007</v>
      </c>
      <c r="R36" s="27"/>
      <c r="S36" s="27"/>
      <c r="T36" s="27">
        <f t="shared" si="6"/>
        <v>0.57140000000000002</v>
      </c>
      <c r="U36" s="27"/>
      <c r="V36" s="27"/>
      <c r="W36" s="27"/>
      <c r="X36" s="27"/>
      <c r="Y36" s="27"/>
      <c r="Z36" s="27"/>
    </row>
    <row r="37" spans="1:26" x14ac:dyDescent="0.2">
      <c r="A37" s="7"/>
      <c r="B37" s="23" t="s">
        <v>5</v>
      </c>
      <c r="C37" s="30"/>
      <c r="D37" s="112"/>
      <c r="E37" s="363">
        <v>0.36930000000000002</v>
      </c>
      <c r="F37" s="133" t="s">
        <v>40</v>
      </c>
      <c r="G37" s="133" t="s">
        <v>40</v>
      </c>
      <c r="H37" s="364">
        <v>0.44409999999999999</v>
      </c>
      <c r="I37" s="133" t="s">
        <v>40</v>
      </c>
      <c r="J37" s="30"/>
      <c r="K37" s="30"/>
      <c r="L37" s="30"/>
      <c r="M37" s="25"/>
      <c r="N37" s="26"/>
      <c r="O37" s="27"/>
      <c r="P37" s="27"/>
      <c r="Q37" s="27">
        <f t="shared" si="5"/>
        <v>0.63070000000000004</v>
      </c>
      <c r="R37" s="27"/>
      <c r="S37" s="27"/>
      <c r="T37" s="27">
        <f t="shared" si="6"/>
        <v>0.55590000000000006</v>
      </c>
      <c r="U37" s="27"/>
      <c r="V37" s="27"/>
      <c r="W37" s="27"/>
      <c r="X37" s="27"/>
      <c r="Y37" s="27"/>
      <c r="Z37" s="27"/>
    </row>
    <row r="38" spans="1:26" x14ac:dyDescent="0.2">
      <c r="A38" s="7"/>
      <c r="B38" s="154" t="s">
        <v>6</v>
      </c>
      <c r="C38" s="176"/>
      <c r="D38" s="177"/>
      <c r="E38" s="365">
        <v>0.40029999999999999</v>
      </c>
      <c r="F38" s="366" t="s">
        <v>40</v>
      </c>
      <c r="G38" s="366" t="s">
        <v>40</v>
      </c>
      <c r="H38" s="367">
        <v>0.45650000000000002</v>
      </c>
      <c r="I38" s="179" t="s">
        <v>40</v>
      </c>
      <c r="J38" s="112"/>
      <c r="K38" s="30"/>
      <c r="L38" s="30"/>
      <c r="M38" s="25"/>
      <c r="N38" s="26"/>
      <c r="O38" s="27"/>
      <c r="P38" s="27"/>
      <c r="Q38" s="27">
        <f t="shared" si="5"/>
        <v>0.59970000000000001</v>
      </c>
      <c r="R38" s="27"/>
      <c r="S38" s="27"/>
      <c r="T38" s="27">
        <f t="shared" si="6"/>
        <v>0.54349999999999998</v>
      </c>
      <c r="U38" s="27"/>
      <c r="V38" s="27"/>
      <c r="W38" s="27"/>
      <c r="X38" s="27"/>
      <c r="Y38" s="27"/>
      <c r="Z38" s="27"/>
    </row>
    <row r="39" spans="1:26" x14ac:dyDescent="0.2">
      <c r="A39" s="7"/>
      <c r="B39" s="158" t="s">
        <v>7</v>
      </c>
      <c r="C39" s="171"/>
      <c r="D39" s="172"/>
      <c r="E39" s="368">
        <v>0.4173</v>
      </c>
      <c r="F39" s="369" t="s">
        <v>40</v>
      </c>
      <c r="G39" s="369" t="s">
        <v>40</v>
      </c>
      <c r="H39" s="370">
        <v>0.4546</v>
      </c>
      <c r="I39" s="180" t="s">
        <v>40</v>
      </c>
      <c r="J39" s="112"/>
      <c r="K39" s="30"/>
      <c r="L39" s="30"/>
      <c r="M39" s="25"/>
      <c r="N39" s="26"/>
      <c r="O39" s="27"/>
      <c r="P39" s="27"/>
      <c r="Q39" s="27">
        <f t="shared" si="5"/>
        <v>0.5827</v>
      </c>
      <c r="R39" s="27"/>
      <c r="S39" s="27"/>
      <c r="T39" s="27">
        <f t="shared" si="6"/>
        <v>0.5454</v>
      </c>
      <c r="U39" s="27"/>
      <c r="V39" s="27"/>
      <c r="W39" s="27"/>
      <c r="X39" s="27"/>
      <c r="Y39" s="27"/>
      <c r="Z39" s="27"/>
    </row>
    <row r="40" spans="1:26" x14ac:dyDescent="0.2">
      <c r="A40" s="7"/>
      <c r="B40" s="158" t="s">
        <v>8</v>
      </c>
      <c r="C40" s="171"/>
      <c r="D40" s="172"/>
      <c r="E40" s="368">
        <v>0.41449999999999998</v>
      </c>
      <c r="F40" s="369" t="s">
        <v>40</v>
      </c>
      <c r="G40" s="369" t="s">
        <v>40</v>
      </c>
      <c r="H40" s="370">
        <v>0.45229999999999998</v>
      </c>
      <c r="I40" s="180" t="s">
        <v>40</v>
      </c>
      <c r="J40" s="112"/>
      <c r="K40" s="30"/>
      <c r="L40" s="30"/>
      <c r="M40" s="25"/>
      <c r="N40" s="26"/>
      <c r="O40" s="27"/>
      <c r="P40" s="27"/>
      <c r="Q40" s="27">
        <f t="shared" si="5"/>
        <v>0.58550000000000002</v>
      </c>
      <c r="R40" s="27"/>
      <c r="S40" s="27"/>
      <c r="T40" s="27">
        <f t="shared" si="6"/>
        <v>0.54770000000000008</v>
      </c>
      <c r="U40" s="27"/>
      <c r="V40" s="27"/>
      <c r="W40" s="27"/>
      <c r="X40" s="27"/>
      <c r="Y40" s="27"/>
      <c r="Z40" s="27"/>
    </row>
    <row r="41" spans="1:26" x14ac:dyDescent="0.2">
      <c r="A41" s="7"/>
      <c r="B41" s="160" t="s">
        <v>9</v>
      </c>
      <c r="C41" s="181"/>
      <c r="D41" s="182"/>
      <c r="E41" s="371">
        <v>0.39290000000000003</v>
      </c>
      <c r="F41" s="372" t="s">
        <v>40</v>
      </c>
      <c r="G41" s="372" t="s">
        <v>40</v>
      </c>
      <c r="H41" s="373">
        <v>0.45179999999999998</v>
      </c>
      <c r="I41" s="184" t="s">
        <v>40</v>
      </c>
      <c r="J41" s="112"/>
      <c r="K41" s="30"/>
      <c r="L41" s="30"/>
      <c r="M41" s="25"/>
      <c r="N41" s="26"/>
      <c r="O41" s="27"/>
      <c r="P41" s="27"/>
      <c r="Q41" s="27">
        <f t="shared" si="5"/>
        <v>0.60709999999999997</v>
      </c>
      <c r="R41" s="27"/>
      <c r="S41" s="27"/>
      <c r="T41" s="27">
        <f t="shared" si="6"/>
        <v>0.54820000000000002</v>
      </c>
      <c r="U41" s="27"/>
      <c r="V41" s="27"/>
      <c r="W41" s="27"/>
      <c r="X41" s="27"/>
      <c r="Y41" s="27"/>
      <c r="Z41" s="27"/>
    </row>
    <row r="42" spans="1:26" x14ac:dyDescent="0.2">
      <c r="A42" s="7"/>
      <c r="B42" s="23" t="s">
        <v>10</v>
      </c>
      <c r="C42" s="30"/>
      <c r="D42" s="112"/>
      <c r="E42" s="363">
        <v>0.36020000000000002</v>
      </c>
      <c r="F42" s="133" t="s">
        <v>40</v>
      </c>
      <c r="G42" s="133" t="s">
        <v>40</v>
      </c>
      <c r="H42" s="364">
        <v>0.45150000000000001</v>
      </c>
      <c r="I42" s="133" t="s">
        <v>40</v>
      </c>
      <c r="J42" s="30"/>
      <c r="K42" s="30"/>
      <c r="L42" s="30"/>
      <c r="M42" s="25"/>
      <c r="N42" s="26"/>
      <c r="O42" s="27"/>
      <c r="P42" s="27"/>
      <c r="Q42" s="27">
        <f t="shared" si="5"/>
        <v>0.63979999999999992</v>
      </c>
      <c r="R42" s="27"/>
      <c r="S42" s="27"/>
      <c r="T42" s="27">
        <f t="shared" si="6"/>
        <v>0.54849999999999999</v>
      </c>
      <c r="U42" s="27"/>
      <c r="V42" s="27"/>
      <c r="W42" s="27"/>
      <c r="X42" s="27"/>
      <c r="Y42" s="27"/>
      <c r="Z42" s="27"/>
    </row>
    <row r="43" spans="1:26" x14ac:dyDescent="0.2">
      <c r="A43" s="7"/>
      <c r="B43" s="23" t="s">
        <v>11</v>
      </c>
      <c r="C43" s="30"/>
      <c r="D43" s="112"/>
      <c r="E43" s="363">
        <v>0.34989999999999999</v>
      </c>
      <c r="F43" s="133" t="s">
        <v>40</v>
      </c>
      <c r="G43" s="133" t="s">
        <v>40</v>
      </c>
      <c r="H43" s="364">
        <v>0.44180000000000003</v>
      </c>
      <c r="I43" s="133" t="s">
        <v>40</v>
      </c>
      <c r="J43" s="30"/>
      <c r="K43" s="30"/>
      <c r="L43" s="30"/>
      <c r="M43" s="25"/>
      <c r="N43" s="26"/>
      <c r="O43" s="27"/>
      <c r="P43" s="27"/>
      <c r="Q43" s="27">
        <f t="shared" si="5"/>
        <v>0.65010000000000001</v>
      </c>
      <c r="R43" s="27"/>
      <c r="S43" s="27"/>
      <c r="T43" s="27">
        <f t="shared" si="6"/>
        <v>0.55820000000000003</v>
      </c>
      <c r="U43" s="27"/>
      <c r="V43" s="27"/>
      <c r="W43" s="27"/>
      <c r="X43" s="27"/>
      <c r="Y43" s="27"/>
      <c r="Z43" s="27"/>
    </row>
    <row r="44" spans="1:26" x14ac:dyDescent="0.2">
      <c r="A44" s="7"/>
      <c r="B44" s="23" t="s">
        <v>12</v>
      </c>
      <c r="C44" s="30"/>
      <c r="D44" s="112"/>
      <c r="E44" s="363">
        <v>0.3493</v>
      </c>
      <c r="F44" s="133" t="s">
        <v>40</v>
      </c>
      <c r="G44" s="133" t="s">
        <v>40</v>
      </c>
      <c r="H44" s="364">
        <v>0.4289</v>
      </c>
      <c r="I44" s="133" t="s">
        <v>40</v>
      </c>
      <c r="J44" s="30"/>
      <c r="K44" s="30"/>
      <c r="L44" s="30"/>
      <c r="M44" s="25"/>
      <c r="N44" s="26"/>
      <c r="O44" s="27"/>
      <c r="P44" s="27"/>
      <c r="Q44" s="27">
        <f t="shared" si="5"/>
        <v>0.65070000000000006</v>
      </c>
      <c r="R44" s="27"/>
      <c r="S44" s="27"/>
      <c r="T44" s="27">
        <f t="shared" si="6"/>
        <v>0.57109999999999994</v>
      </c>
      <c r="U44" s="27"/>
      <c r="V44" s="27"/>
      <c r="W44" s="27"/>
      <c r="X44" s="27"/>
      <c r="Y44" s="27"/>
      <c r="Z44" s="27"/>
    </row>
    <row r="45" spans="1:26" x14ac:dyDescent="0.2">
      <c r="A45" s="7"/>
      <c r="B45" s="23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25"/>
      <c r="N45" s="26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x14ac:dyDescent="0.2">
      <c r="A46" s="7"/>
      <c r="B46" s="31" t="s">
        <v>202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25"/>
      <c r="N46" s="26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x14ac:dyDescent="0.2">
      <c r="A47" s="7"/>
      <c r="B47" s="31" t="s">
        <v>213</v>
      </c>
      <c r="C47" s="26"/>
      <c r="D47" s="26"/>
      <c r="E47" s="26"/>
      <c r="F47" s="26"/>
      <c r="G47" s="26"/>
      <c r="H47" s="26"/>
      <c r="I47" s="28"/>
      <c r="J47" s="28"/>
      <c r="K47" s="28"/>
      <c r="L47" s="26"/>
      <c r="M47" s="26"/>
      <c r="N47" s="26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x14ac:dyDescent="0.2">
      <c r="A48" s="7"/>
      <c r="B48" s="31" t="s">
        <v>66</v>
      </c>
      <c r="C48" s="26"/>
      <c r="D48" s="26"/>
      <c r="E48" s="26"/>
      <c r="F48" s="26"/>
      <c r="G48" s="26"/>
      <c r="H48" s="26"/>
      <c r="I48" s="28"/>
      <c r="J48" s="28"/>
      <c r="K48" s="28"/>
      <c r="L48" s="26"/>
      <c r="M48" s="26"/>
      <c r="N48" s="26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38" x14ac:dyDescent="0.2">
      <c r="A49" s="7"/>
      <c r="B49" s="31" t="s">
        <v>67</v>
      </c>
      <c r="C49" s="26"/>
      <c r="D49" s="26"/>
      <c r="E49" s="26"/>
      <c r="F49" s="26"/>
      <c r="G49" s="26"/>
      <c r="H49" s="26"/>
      <c r="I49" s="28"/>
      <c r="J49" s="28"/>
      <c r="K49" s="28"/>
      <c r="L49" s="26"/>
      <c r="M49" s="26"/>
      <c r="N49" s="26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38" x14ac:dyDescent="0.2">
      <c r="A50" s="7"/>
      <c r="B50" s="31" t="s">
        <v>68</v>
      </c>
      <c r="C50" s="26"/>
      <c r="D50" s="26"/>
      <c r="E50" s="26"/>
      <c r="F50" s="26"/>
      <c r="G50" s="26"/>
      <c r="H50" s="26"/>
      <c r="I50" s="28"/>
      <c r="J50" s="28"/>
      <c r="K50" s="28"/>
      <c r="L50" s="26"/>
      <c r="M50" s="26"/>
      <c r="N50" s="26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38" x14ac:dyDescent="0.2">
      <c r="A51" s="7"/>
      <c r="B51" s="23"/>
      <c r="C51" s="26"/>
      <c r="D51" s="26"/>
      <c r="E51" s="26"/>
      <c r="F51" s="26"/>
      <c r="G51" s="26"/>
      <c r="H51" s="26"/>
      <c r="I51" s="28"/>
      <c r="J51" s="28"/>
      <c r="K51" s="28"/>
      <c r="L51" s="26"/>
      <c r="M51" s="26"/>
      <c r="N51" s="26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38" ht="15.75" x14ac:dyDescent="0.25">
      <c r="A52" s="7"/>
      <c r="B52" s="504" t="str">
        <f>$B$1</f>
        <v xml:space="preserve">Jersey Central Power &amp; Light </v>
      </c>
      <c r="C52" s="504"/>
      <c r="D52" s="504"/>
      <c r="E52" s="504"/>
      <c r="F52" s="504"/>
      <c r="G52" s="504"/>
      <c r="H52" s="504"/>
      <c r="I52" s="504"/>
      <c r="J52" s="504"/>
      <c r="K52" s="504"/>
      <c r="L52" s="504"/>
      <c r="M52" s="26"/>
      <c r="N52" s="28"/>
      <c r="O52" s="27"/>
      <c r="P52" s="27"/>
      <c r="Q52" s="27"/>
      <c r="R52" s="27"/>
      <c r="S52" s="27"/>
      <c r="T52" s="27"/>
      <c r="U52" s="27"/>
      <c r="V52" s="27"/>
      <c r="W52" s="206" t="s">
        <v>405</v>
      </c>
      <c r="X52" s="27"/>
      <c r="Y52" s="27"/>
      <c r="Z52" s="27"/>
    </row>
    <row r="53" spans="1:38" ht="15.75" x14ac:dyDescent="0.25">
      <c r="A53" s="7"/>
      <c r="B53" s="504" t="str">
        <f>$B$2</f>
        <v>Attachment 2</v>
      </c>
      <c r="C53" s="504"/>
      <c r="D53" s="504"/>
      <c r="E53" s="504"/>
      <c r="F53" s="504"/>
      <c r="G53" s="504"/>
      <c r="H53" s="504"/>
      <c r="I53" s="504"/>
      <c r="J53" s="504"/>
      <c r="K53" s="504"/>
      <c r="L53" s="504"/>
      <c r="M53" s="28"/>
      <c r="N53" s="26"/>
      <c r="O53" s="27"/>
      <c r="P53" s="27"/>
      <c r="Q53" s="27"/>
      <c r="R53" s="27"/>
      <c r="S53" s="27"/>
      <c r="T53" s="27"/>
      <c r="U53" s="27"/>
      <c r="V53" s="27"/>
      <c r="W53" s="257" t="s">
        <v>251</v>
      </c>
      <c r="X53" s="27"/>
      <c r="Y53" s="27"/>
      <c r="Z53" s="27"/>
      <c r="AA53" s="4"/>
    </row>
    <row r="54" spans="1:38" x14ac:dyDescent="0.2">
      <c r="A54" s="7"/>
      <c r="B54" s="23"/>
      <c r="C54" s="26"/>
      <c r="D54" s="26"/>
      <c r="E54" s="26"/>
      <c r="F54" s="26"/>
      <c r="G54" s="26"/>
      <c r="H54" s="26"/>
      <c r="I54" s="28"/>
      <c r="J54" s="28"/>
      <c r="K54" s="28"/>
      <c r="L54" s="26"/>
      <c r="M54" s="26"/>
      <c r="N54" s="26"/>
      <c r="O54" s="27"/>
      <c r="P54" s="27"/>
      <c r="Q54" s="27"/>
      <c r="R54" s="27"/>
      <c r="S54" s="27"/>
      <c r="T54" s="27"/>
      <c r="U54" s="27"/>
      <c r="V54" s="27"/>
      <c r="W54" s="27"/>
      <c r="X54" s="235"/>
      <c r="Y54" s="27"/>
      <c r="Z54" s="27"/>
      <c r="AJ54" s="257"/>
    </row>
    <row r="55" spans="1:38" x14ac:dyDescent="0.2">
      <c r="A55" s="7"/>
      <c r="B55" s="23"/>
      <c r="C55" s="26"/>
      <c r="D55" s="26"/>
      <c r="E55" s="26"/>
      <c r="F55" s="26"/>
      <c r="G55" s="26"/>
      <c r="H55" s="26"/>
      <c r="I55" s="28"/>
      <c r="J55" s="28"/>
      <c r="K55" s="28"/>
      <c r="L55" s="26"/>
      <c r="M55" s="26"/>
      <c r="N55" s="26"/>
      <c r="O55" s="27"/>
      <c r="P55" s="27"/>
      <c r="Q55" s="27"/>
      <c r="R55" s="27"/>
      <c r="S55" s="27"/>
      <c r="T55" s="27"/>
      <c r="U55" s="27"/>
      <c r="V55" s="27"/>
      <c r="X55" s="26"/>
      <c r="Y55" s="411" t="s">
        <v>374</v>
      </c>
      <c r="Z55" s="27"/>
    </row>
    <row r="56" spans="1:38" x14ac:dyDescent="0.2">
      <c r="A56" s="6" t="s">
        <v>36</v>
      </c>
      <c r="B56" s="32" t="s">
        <v>48</v>
      </c>
      <c r="E56" s="26"/>
      <c r="F56" s="26"/>
      <c r="G56" s="26"/>
      <c r="H56" s="26"/>
      <c r="I56" s="28"/>
      <c r="J56" s="28"/>
      <c r="K56" s="28"/>
      <c r="O56" s="1"/>
      <c r="Y56" s="230" t="s">
        <v>248</v>
      </c>
      <c r="Z56" s="111"/>
      <c r="AJ56" s="74"/>
      <c r="AK56" s="74"/>
      <c r="AL56" s="74"/>
    </row>
    <row r="57" spans="1:38" x14ac:dyDescent="0.2">
      <c r="A57" s="7"/>
      <c r="B57" s="33" t="s">
        <v>375</v>
      </c>
      <c r="N57" s="34"/>
      <c r="O57" s="35"/>
      <c r="P57" s="35"/>
      <c r="Q57" s="35" t="s">
        <v>261</v>
      </c>
      <c r="R57" s="35"/>
      <c r="S57" s="35"/>
      <c r="T57" s="35"/>
      <c r="U57" s="36"/>
      <c r="W57" s="2" t="s">
        <v>13</v>
      </c>
      <c r="AB57" s="2" t="s">
        <v>280</v>
      </c>
      <c r="AJ57" s="74"/>
      <c r="AK57" s="321"/>
      <c r="AL57" s="74"/>
    </row>
    <row r="58" spans="1:38" x14ac:dyDescent="0.2">
      <c r="A58" s="7"/>
      <c r="B58" s="15" t="s">
        <v>38</v>
      </c>
      <c r="C58" s="2"/>
      <c r="D58" s="2"/>
      <c r="E58" s="2" t="str">
        <f>+E$13</f>
        <v>RT{1}</v>
      </c>
      <c r="F58" s="2" t="str">
        <f>+F$13</f>
        <v>RS{2}</v>
      </c>
      <c r="G58" s="2" t="str">
        <f>+G$13</f>
        <v>GS{3}</v>
      </c>
      <c r="H58" s="2" t="s">
        <v>203</v>
      </c>
      <c r="I58" s="2" t="str">
        <f>+I$13</f>
        <v>OL/SL</v>
      </c>
      <c r="J58" s="2" t="s">
        <v>13</v>
      </c>
      <c r="K58" s="2"/>
      <c r="L58" s="2"/>
      <c r="M58" s="2" t="s">
        <v>179</v>
      </c>
      <c r="N58" s="37"/>
      <c r="O58" s="2"/>
      <c r="P58" s="2"/>
      <c r="Q58" s="2" t="str">
        <f>+Q$13</f>
        <v>RT{1}</v>
      </c>
      <c r="R58" s="2" t="str">
        <f>+R$13</f>
        <v>RS{2}</v>
      </c>
      <c r="S58" s="2" t="str">
        <f>+S$13</f>
        <v>GS{3}</v>
      </c>
      <c r="T58" s="2" t="str">
        <f>+T$13</f>
        <v>GST</v>
      </c>
      <c r="U58" s="38" t="str">
        <f>+U$13</f>
        <v>OL/SL</v>
      </c>
      <c r="V58" s="2"/>
      <c r="W58" s="2" t="s">
        <v>59</v>
      </c>
      <c r="X58" s="2" t="s">
        <v>64</v>
      </c>
      <c r="Y58" s="2" t="s">
        <v>63</v>
      </c>
      <c r="Z58" s="239" t="s">
        <v>60</v>
      </c>
      <c r="AA58" s="2" t="s">
        <v>314</v>
      </c>
      <c r="AB58" s="2" t="s">
        <v>281</v>
      </c>
      <c r="AC58" s="2" t="s">
        <v>337</v>
      </c>
      <c r="AD58" s="236" t="s">
        <v>283</v>
      </c>
      <c r="AF58" s="2" t="s">
        <v>55</v>
      </c>
      <c r="AG58" s="2" t="s">
        <v>338</v>
      </c>
      <c r="AH58" s="2" t="s">
        <v>54</v>
      </c>
      <c r="AJ58" s="74"/>
      <c r="AK58" s="146"/>
      <c r="AL58" s="146"/>
    </row>
    <row r="59" spans="1:38" x14ac:dyDescent="0.2">
      <c r="A59" s="7"/>
      <c r="M59" s="1" t="s">
        <v>180</v>
      </c>
      <c r="N59" s="39"/>
      <c r="U59" s="40"/>
      <c r="V59" s="289" t="s">
        <v>373</v>
      </c>
      <c r="W59" s="289" t="s">
        <v>407</v>
      </c>
      <c r="X59" s="289" t="s">
        <v>407</v>
      </c>
      <c r="Y59" s="289" t="s">
        <v>247</v>
      </c>
      <c r="Z59" s="289" t="s">
        <v>407</v>
      </c>
      <c r="AA59" s="289" t="s">
        <v>406</v>
      </c>
      <c r="AB59" s="289" t="s">
        <v>406</v>
      </c>
      <c r="AC59" s="289" t="s">
        <v>349</v>
      </c>
      <c r="AD59" s="289" t="s">
        <v>406</v>
      </c>
      <c r="AF59" s="289" t="s">
        <v>406</v>
      </c>
      <c r="AG59" s="289" t="s">
        <v>349</v>
      </c>
      <c r="AH59" s="289" t="s">
        <v>408</v>
      </c>
      <c r="AJ59" s="74"/>
      <c r="AK59" s="146"/>
      <c r="AL59" s="146"/>
    </row>
    <row r="60" spans="1:38" x14ac:dyDescent="0.2">
      <c r="A60" s="7"/>
      <c r="B60" s="23" t="s">
        <v>1</v>
      </c>
      <c r="C60" s="41"/>
      <c r="D60" s="41"/>
      <c r="E60" s="42">
        <f>ROUND(AA60,0)+ROUND($W60/1000,0)</f>
        <v>19934</v>
      </c>
      <c r="F60" s="42">
        <f>ROUND(AB60,0)+ROUND($Z60/1000,0)</f>
        <v>897524</v>
      </c>
      <c r="G60" s="42">
        <f>ROUND(AC60,0)-ROUND(SUM($X60/1000),0)</f>
        <v>508052</v>
      </c>
      <c r="H60" s="42">
        <f>ROUND(AG60,0)</f>
        <v>14709</v>
      </c>
      <c r="I60" s="42">
        <f>ROUND(AF60,0)</f>
        <v>10067</v>
      </c>
      <c r="J60" s="42">
        <f t="shared" ref="J60:J72" si="7">SUM(E60:I60)</f>
        <v>1450286</v>
      </c>
      <c r="K60" s="42"/>
      <c r="L60" s="41"/>
      <c r="M60" s="42">
        <f t="shared" ref="M60:M71" si="8">E60-ROUND(SUM($W60/1000),0)</f>
        <v>19317</v>
      </c>
      <c r="N60" s="43" t="s">
        <v>28</v>
      </c>
      <c r="O60" s="44"/>
      <c r="P60" s="4"/>
      <c r="Q60" s="4">
        <f>SUM(E60:E64,E69:E71)</f>
        <v>115223</v>
      </c>
      <c r="R60" s="4">
        <f>SUM(F60:F64,F69:F71)</f>
        <v>5612850</v>
      </c>
      <c r="S60" s="4">
        <f>SUM(G60:G64,G69:G71)</f>
        <v>3714049</v>
      </c>
      <c r="T60" s="4">
        <f>SUM(H60:H64,H69:H71)</f>
        <v>113111</v>
      </c>
      <c r="U60" s="45">
        <f>SUM(I60:I64,I69:I71)</f>
        <v>80621</v>
      </c>
      <c r="V60" s="244">
        <v>46023</v>
      </c>
      <c r="W60" s="231">
        <v>616868</v>
      </c>
      <c r="X60" s="232">
        <v>12508</v>
      </c>
      <c r="Y60" s="4">
        <f>W60-X60</f>
        <v>604360</v>
      </c>
      <c r="Z60" s="232">
        <v>1795515</v>
      </c>
      <c r="AA60" s="374">
        <v>19317.195</v>
      </c>
      <c r="AB60" s="234">
        <v>895728.21699999995</v>
      </c>
      <c r="AC60" s="42">
        <v>508064.58100000001</v>
      </c>
      <c r="AD60" s="234">
        <v>558108.875</v>
      </c>
      <c r="AF60" s="234">
        <v>10067.429</v>
      </c>
      <c r="AG60" s="240">
        <v>14709.368</v>
      </c>
      <c r="AH60" s="234">
        <v>34119600</v>
      </c>
      <c r="AI60" s="4"/>
      <c r="AJ60" s="74"/>
      <c r="AK60" s="41"/>
      <c r="AL60" s="41"/>
    </row>
    <row r="61" spans="1:38" x14ac:dyDescent="0.2">
      <c r="A61" s="7"/>
      <c r="B61" s="23" t="s">
        <v>2</v>
      </c>
      <c r="C61" s="41"/>
      <c r="D61" s="41"/>
      <c r="E61" s="42">
        <f>ROUND(AA61,0)+ROUND($W61/1000,0)</f>
        <v>17010</v>
      </c>
      <c r="F61" s="42">
        <f>ROUND(AB61,0)+ROUND($Z61/1000,0)</f>
        <v>738594</v>
      </c>
      <c r="G61" s="42">
        <f t="shared" ref="G61:G71" si="9">ROUND(AC61,0)-ROUND(SUM($X61/1000),0)</f>
        <v>456957</v>
      </c>
      <c r="H61" s="42">
        <f t="shared" ref="H61:H71" si="10">ROUND(AG61,0)</f>
        <v>13966</v>
      </c>
      <c r="I61" s="42">
        <f t="shared" ref="I61:I71" si="11">ROUND(AF61,0)</f>
        <v>10069</v>
      </c>
      <c r="J61" s="42">
        <f t="shared" si="7"/>
        <v>1236596</v>
      </c>
      <c r="K61" s="42"/>
      <c r="L61" s="41"/>
      <c r="M61" s="42">
        <f t="shared" si="8"/>
        <v>16489</v>
      </c>
      <c r="N61" s="43"/>
      <c r="O61" s="44"/>
      <c r="P61" s="73" t="s">
        <v>193</v>
      </c>
      <c r="Q61" s="4">
        <f>SUMPRODUCT(E33:E37,M60:M64)+SUMPRODUCT(E42:E44,M69:M71)</f>
        <v>38323.476999999999</v>
      </c>
      <c r="S61" s="5" t="s">
        <v>177</v>
      </c>
      <c r="T61" s="4">
        <f>SUMPRODUCT(H33:H37,H60:H64)+SUMPRODUCT(H42:H44,H69:H71)</f>
        <v>48727.693200000002</v>
      </c>
      <c r="U61" s="40">
        <f>T61/T60</f>
        <v>0.43079535323708573</v>
      </c>
      <c r="V61" s="244">
        <v>46054</v>
      </c>
      <c r="W61" s="231">
        <v>520716</v>
      </c>
      <c r="X61" s="232">
        <v>11630</v>
      </c>
      <c r="Y61" s="4">
        <f t="shared" ref="Y61:Y71" si="12">W61-X61</f>
        <v>509086</v>
      </c>
      <c r="Z61" s="232">
        <v>1522481</v>
      </c>
      <c r="AA61" s="374">
        <v>16488.766</v>
      </c>
      <c r="AB61" s="234">
        <v>737072.12800000003</v>
      </c>
      <c r="AC61" s="42">
        <v>456969.03200000001</v>
      </c>
      <c r="AD61" s="234">
        <v>505468.277</v>
      </c>
      <c r="AF61" s="234">
        <v>10068.538</v>
      </c>
      <c r="AG61" s="240">
        <v>13966.285</v>
      </c>
      <c r="AH61" s="234">
        <v>32777434</v>
      </c>
      <c r="AJ61" s="74"/>
      <c r="AK61" s="41"/>
      <c r="AL61" s="41"/>
    </row>
    <row r="62" spans="1:38" x14ac:dyDescent="0.2">
      <c r="A62" s="7"/>
      <c r="B62" s="23" t="s">
        <v>3</v>
      </c>
      <c r="C62" s="41"/>
      <c r="D62" s="41"/>
      <c r="E62" s="42">
        <f>ROUND(AA62,0)+ROUND($W62/1000,0)</f>
        <v>15988</v>
      </c>
      <c r="F62" s="42">
        <f>ROUND(AB62,0)+ROUND($Z62/1000,0)</f>
        <v>706497</v>
      </c>
      <c r="G62" s="42">
        <f t="shared" si="9"/>
        <v>467404</v>
      </c>
      <c r="H62" s="42">
        <f t="shared" si="10"/>
        <v>13555</v>
      </c>
      <c r="I62" s="42">
        <f t="shared" si="11"/>
        <v>10070</v>
      </c>
      <c r="J62" s="42">
        <f t="shared" si="7"/>
        <v>1213514</v>
      </c>
      <c r="K62" s="42"/>
      <c r="L62" s="41"/>
      <c r="M62" s="42">
        <f t="shared" si="8"/>
        <v>15463</v>
      </c>
      <c r="N62" s="43"/>
      <c r="O62" s="44"/>
      <c r="P62" s="73" t="s">
        <v>194</v>
      </c>
      <c r="Q62" s="4">
        <f>SUMPRODUCT(Q33:Q37,M60:M64)+SUMPRODUCT(Q42:Q44,M69:M71)</f>
        <v>71208.523000000001</v>
      </c>
      <c r="S62" s="5" t="s">
        <v>178</v>
      </c>
      <c r="T62" s="4">
        <f>+T60-T61</f>
        <v>64383.306799999998</v>
      </c>
      <c r="U62" s="40"/>
      <c r="V62" s="244">
        <v>46082</v>
      </c>
      <c r="W62" s="231">
        <v>525070</v>
      </c>
      <c r="X62" s="232">
        <v>10927</v>
      </c>
      <c r="Y62" s="4">
        <f t="shared" si="12"/>
        <v>514143</v>
      </c>
      <c r="Z62" s="232">
        <v>1366144</v>
      </c>
      <c r="AA62" s="374">
        <v>15462.710999999999</v>
      </c>
      <c r="AB62" s="234">
        <v>705130.97900000005</v>
      </c>
      <c r="AC62" s="42">
        <v>467414.94400000002</v>
      </c>
      <c r="AD62" s="234">
        <v>515049.34700000001</v>
      </c>
      <c r="AF62" s="234">
        <v>10069.741</v>
      </c>
      <c r="AG62" s="240">
        <v>13555.12</v>
      </c>
      <c r="AH62" s="234">
        <v>31397767</v>
      </c>
      <c r="AJ62" s="74"/>
      <c r="AK62" s="41"/>
      <c r="AL62" s="41"/>
    </row>
    <row r="63" spans="1:38" x14ac:dyDescent="0.2">
      <c r="A63" s="7"/>
      <c r="B63" s="23" t="s">
        <v>4</v>
      </c>
      <c r="C63" s="41"/>
      <c r="D63" s="41"/>
      <c r="E63" s="42">
        <f>ROUND(AA63,0)+ROUND($W63/1000,0)</f>
        <v>12070</v>
      </c>
      <c r="F63" s="42">
        <f>ROUND(AB63,0)+ROUND($Z63/1000,0)</f>
        <v>550986</v>
      </c>
      <c r="G63" s="42">
        <f t="shared" si="9"/>
        <v>432993</v>
      </c>
      <c r="H63" s="42">
        <f t="shared" si="10"/>
        <v>13768</v>
      </c>
      <c r="I63" s="42">
        <f t="shared" si="11"/>
        <v>10078</v>
      </c>
      <c r="J63" s="42">
        <f t="shared" si="7"/>
        <v>1019895</v>
      </c>
      <c r="K63" s="42"/>
      <c r="L63" s="41"/>
      <c r="M63" s="42">
        <f t="shared" si="8"/>
        <v>11212</v>
      </c>
      <c r="N63" s="39"/>
      <c r="P63" s="73" t="s">
        <v>259</v>
      </c>
      <c r="Q63" s="4">
        <f>SUM(W60:W64,W69:W71)/1000</f>
        <v>5691.3419999999996</v>
      </c>
      <c r="U63" s="40"/>
      <c r="V63" s="244">
        <v>46113</v>
      </c>
      <c r="W63" s="231">
        <v>857967</v>
      </c>
      <c r="X63" s="232">
        <v>21326</v>
      </c>
      <c r="Y63" s="4">
        <f t="shared" si="12"/>
        <v>836641</v>
      </c>
      <c r="Z63" s="232">
        <v>975851</v>
      </c>
      <c r="AA63" s="374">
        <v>11212.025</v>
      </c>
      <c r="AB63" s="234">
        <v>550009.79799999995</v>
      </c>
      <c r="AC63" s="42">
        <v>433013.89899999998</v>
      </c>
      <c r="AD63" s="234">
        <v>482088.13</v>
      </c>
      <c r="AF63" s="234">
        <v>10077.654</v>
      </c>
      <c r="AG63" s="240">
        <v>13767.583000000001</v>
      </c>
      <c r="AH63" s="234">
        <v>30596489</v>
      </c>
      <c r="AJ63" s="74"/>
      <c r="AK63" s="41"/>
      <c r="AL63" s="41"/>
    </row>
    <row r="64" spans="1:38" x14ac:dyDescent="0.2">
      <c r="A64" s="7"/>
      <c r="B64" s="23" t="s">
        <v>5</v>
      </c>
      <c r="C64" s="41"/>
      <c r="D64" s="41"/>
      <c r="E64" s="42">
        <f>ROUND(AA64,0)+ROUND($W64/1000,0)</f>
        <v>11940</v>
      </c>
      <c r="F64" s="42">
        <f>ROUND(AB64,0)+ROUND($Z64/1000,0)</f>
        <v>642034</v>
      </c>
      <c r="G64" s="42">
        <f t="shared" si="9"/>
        <v>446623</v>
      </c>
      <c r="H64" s="162">
        <f t="shared" si="10"/>
        <v>13994</v>
      </c>
      <c r="I64" s="42">
        <f t="shared" si="11"/>
        <v>10079</v>
      </c>
      <c r="J64" s="42">
        <f t="shared" si="7"/>
        <v>1124670</v>
      </c>
      <c r="K64" s="42"/>
      <c r="L64" s="41"/>
      <c r="M64" s="42">
        <f t="shared" si="8"/>
        <v>10961</v>
      </c>
      <c r="N64" s="43" t="s">
        <v>29</v>
      </c>
      <c r="O64" s="44"/>
      <c r="P64" s="4"/>
      <c r="Q64" s="4">
        <f>+SUM(E65:E68)</f>
        <v>59568</v>
      </c>
      <c r="R64" s="4">
        <f>+SUM(F65:F68)</f>
        <v>4035706</v>
      </c>
      <c r="S64" s="4">
        <f>+SUM(G65:G68)</f>
        <v>2091570</v>
      </c>
      <c r="T64" s="4">
        <f>+SUM(H65:H68)</f>
        <v>53951</v>
      </c>
      <c r="U64" s="45">
        <f>+SUM(I65:I68)</f>
        <v>40326</v>
      </c>
      <c r="V64" s="244">
        <v>46143</v>
      </c>
      <c r="W64" s="231">
        <v>979156</v>
      </c>
      <c r="X64" s="232">
        <v>20504</v>
      </c>
      <c r="Y64" s="4">
        <f t="shared" si="12"/>
        <v>958652</v>
      </c>
      <c r="Z64" s="232">
        <v>904502</v>
      </c>
      <c r="AA64" s="374">
        <v>10961.432000000001</v>
      </c>
      <c r="AB64" s="234">
        <v>641129.071</v>
      </c>
      <c r="AC64" s="42">
        <v>446644.12799999997</v>
      </c>
      <c r="AD64" s="234">
        <v>498069.98</v>
      </c>
      <c r="AF64" s="234">
        <v>10078.759</v>
      </c>
      <c r="AG64" s="240">
        <v>13994.22</v>
      </c>
      <c r="AH64" s="234">
        <v>31700158</v>
      </c>
      <c r="AJ64" s="74"/>
      <c r="AK64" s="41"/>
      <c r="AL64" s="41"/>
    </row>
    <row r="65" spans="1:38" x14ac:dyDescent="0.2">
      <c r="A65" s="7"/>
      <c r="B65" s="154" t="s">
        <v>6</v>
      </c>
      <c r="C65" s="155"/>
      <c r="D65" s="155"/>
      <c r="E65" s="156">
        <f>ROUND(AA65,0)+ROUND(SUM($W65+$Z65)/1000,0)</f>
        <v>13721</v>
      </c>
      <c r="F65" s="156">
        <f>ROUND(AB65,0)</f>
        <v>876168</v>
      </c>
      <c r="G65" s="156">
        <f t="shared" si="9"/>
        <v>508179</v>
      </c>
      <c r="H65" s="42">
        <f t="shared" si="10"/>
        <v>15196</v>
      </c>
      <c r="I65" s="156">
        <f t="shared" si="11"/>
        <v>10080</v>
      </c>
      <c r="J65" s="157">
        <f t="shared" si="7"/>
        <v>1423344</v>
      </c>
      <c r="K65" s="42"/>
      <c r="L65" s="41"/>
      <c r="M65" s="164">
        <f t="shared" si="8"/>
        <v>13051</v>
      </c>
      <c r="N65" s="73"/>
      <c r="O65" s="44"/>
      <c r="P65" s="109" t="s">
        <v>151</v>
      </c>
      <c r="Q65" s="4">
        <f>SUMPRODUCT(E38:E41,M65:M68)</f>
        <v>23323.231899999999</v>
      </c>
      <c r="R65" s="42">
        <f>Q$95/1000*T$95/(S$95/1000)</f>
        <v>2024892.4966168683</v>
      </c>
      <c r="S65" s="5" t="s">
        <v>177</v>
      </c>
      <c r="T65" s="4">
        <f>+SUMPRODUCT(H38:H41,H65:H68)</f>
        <v>24495.801499999998</v>
      </c>
      <c r="U65" s="59">
        <f>T65/T64</f>
        <v>0.45403795110377931</v>
      </c>
      <c r="V65" s="328">
        <v>46174</v>
      </c>
      <c r="W65" s="329">
        <v>669645</v>
      </c>
      <c r="X65" s="330">
        <v>19953</v>
      </c>
      <c r="Y65" s="331">
        <f t="shared" si="12"/>
        <v>649692</v>
      </c>
      <c r="Z65" s="330">
        <v>1060636</v>
      </c>
      <c r="AA65" s="375">
        <v>11991.019</v>
      </c>
      <c r="AB65" s="332">
        <v>876167.61899999995</v>
      </c>
      <c r="AC65" s="156">
        <v>508199.04200000002</v>
      </c>
      <c r="AD65" s="332">
        <v>558912.14500000002</v>
      </c>
      <c r="AE65" s="333"/>
      <c r="AF65" s="332">
        <v>10079.85</v>
      </c>
      <c r="AG65" s="334">
        <v>15196.123</v>
      </c>
      <c r="AH65" s="332">
        <v>32410434</v>
      </c>
      <c r="AI65" s="333"/>
      <c r="AJ65" s="335"/>
      <c r="AK65" s="41"/>
      <c r="AL65" s="41"/>
    </row>
    <row r="66" spans="1:38" x14ac:dyDescent="0.2">
      <c r="A66" s="7"/>
      <c r="B66" s="158" t="s">
        <v>7</v>
      </c>
      <c r="C66" s="41"/>
      <c r="D66" s="41"/>
      <c r="E66" s="42">
        <f>ROUND(AA66,0)+ROUND(SUM($W66+$Z66)/1000,0)</f>
        <v>17769</v>
      </c>
      <c r="F66" s="42">
        <f>ROUND(AB66,0)</f>
        <v>1217293</v>
      </c>
      <c r="G66" s="42">
        <f t="shared" si="9"/>
        <v>575382</v>
      </c>
      <c r="H66" s="42">
        <f t="shared" si="10"/>
        <v>15090</v>
      </c>
      <c r="I66" s="42">
        <f t="shared" si="11"/>
        <v>10081</v>
      </c>
      <c r="J66" s="159">
        <f t="shared" si="7"/>
        <v>1835615</v>
      </c>
      <c r="K66" s="42"/>
      <c r="L66" s="41"/>
      <c r="M66" s="165">
        <f t="shared" si="8"/>
        <v>16981</v>
      </c>
      <c r="N66" s="73"/>
      <c r="O66" s="44"/>
      <c r="P66" s="109" t="s">
        <v>152</v>
      </c>
      <c r="Q66" s="4">
        <f>SUMPRODUCT(Q38:Q41,M65:M68)</f>
        <v>33873.768100000001</v>
      </c>
      <c r="R66" s="42">
        <f>R$95/1000*T$95/(S$95/1000)</f>
        <v>2010813.5033831317</v>
      </c>
      <c r="S66" s="5" t="s">
        <v>178</v>
      </c>
      <c r="T66" s="4">
        <f>+T64-T65</f>
        <v>29455.198500000002</v>
      </c>
      <c r="V66" s="336">
        <v>46204</v>
      </c>
      <c r="W66" s="231">
        <v>787636</v>
      </c>
      <c r="X66" s="232">
        <v>16438</v>
      </c>
      <c r="Y66" s="4">
        <f t="shared" si="12"/>
        <v>771198</v>
      </c>
      <c r="Z66" s="232">
        <v>1284104</v>
      </c>
      <c r="AA66" s="374">
        <v>15697.191000000001</v>
      </c>
      <c r="AB66" s="234">
        <v>1217293.0870000001</v>
      </c>
      <c r="AC66" s="42">
        <v>575397.571</v>
      </c>
      <c r="AD66" s="234">
        <v>635075.83200000005</v>
      </c>
      <c r="AF66" s="234">
        <v>10080.949000000001</v>
      </c>
      <c r="AG66" s="240">
        <v>15090.156999999999</v>
      </c>
      <c r="AH66" s="234">
        <v>36711760</v>
      </c>
      <c r="AJ66" s="74"/>
      <c r="AK66" s="41"/>
      <c r="AL66" s="41"/>
    </row>
    <row r="67" spans="1:38" x14ac:dyDescent="0.2">
      <c r="A67" s="7"/>
      <c r="B67" s="158" t="s">
        <v>8</v>
      </c>
      <c r="C67" s="41"/>
      <c r="D67" s="41"/>
      <c r="E67" s="42">
        <f>ROUND(AA67,0)+ROUND(SUM($W67+$Z67)/1000,0)</f>
        <v>16302</v>
      </c>
      <c r="F67" s="42">
        <f>ROUND(AB67,0)</f>
        <v>1120590</v>
      </c>
      <c r="G67" s="42">
        <f t="shared" si="9"/>
        <v>552263</v>
      </c>
      <c r="H67" s="42">
        <f t="shared" si="10"/>
        <v>14133</v>
      </c>
      <c r="I67" s="42">
        <f t="shared" si="11"/>
        <v>10082</v>
      </c>
      <c r="J67" s="159">
        <f t="shared" si="7"/>
        <v>1713370</v>
      </c>
      <c r="K67" s="42"/>
      <c r="L67" s="41"/>
      <c r="M67" s="165">
        <f t="shared" si="8"/>
        <v>15723</v>
      </c>
      <c r="N67" s="48"/>
      <c r="O67" s="48"/>
      <c r="P67" s="73" t="s">
        <v>260</v>
      </c>
      <c r="Q67" s="4">
        <f>SUM(W65:W68)/1000</f>
        <v>2370.9940000000001</v>
      </c>
      <c r="R67" s="55"/>
      <c r="S67" s="48"/>
      <c r="T67" s="48"/>
      <c r="U67" s="48"/>
      <c r="V67" s="336">
        <v>46235</v>
      </c>
      <c r="W67" s="231">
        <v>579312</v>
      </c>
      <c r="X67" s="232">
        <v>9384</v>
      </c>
      <c r="Y67" s="4">
        <f t="shared" si="12"/>
        <v>569928</v>
      </c>
      <c r="Z67" s="232">
        <v>1061853</v>
      </c>
      <c r="AA67" s="374">
        <v>14661.407999999999</v>
      </c>
      <c r="AB67" s="234">
        <v>1120590.31</v>
      </c>
      <c r="AC67" s="42">
        <v>552272.46799999999</v>
      </c>
      <c r="AD67" s="234">
        <v>615582.95799999998</v>
      </c>
      <c r="AE67" s="18"/>
      <c r="AF67" s="234">
        <v>10082.079</v>
      </c>
      <c r="AG67" s="240">
        <v>14132.946</v>
      </c>
      <c r="AH67" s="234">
        <v>35631509</v>
      </c>
      <c r="AJ67" s="74"/>
      <c r="AK67" s="41"/>
      <c r="AL67" s="41"/>
    </row>
    <row r="68" spans="1:38" x14ac:dyDescent="0.2">
      <c r="A68" s="7"/>
      <c r="B68" s="160" t="s">
        <v>9</v>
      </c>
      <c r="C68" s="161"/>
      <c r="D68" s="161"/>
      <c r="E68" s="162">
        <f>ROUND(AA68,0)+ROUND(SUM($W68+$Z68)/1000,0)</f>
        <v>11776</v>
      </c>
      <c r="F68" s="162">
        <f>ROUND(AB68,0)</f>
        <v>821655</v>
      </c>
      <c r="G68" s="162">
        <f t="shared" si="9"/>
        <v>455746</v>
      </c>
      <c r="H68" s="162">
        <f t="shared" si="10"/>
        <v>9532</v>
      </c>
      <c r="I68" s="162">
        <f t="shared" si="11"/>
        <v>10083</v>
      </c>
      <c r="J68" s="163">
        <f t="shared" si="7"/>
        <v>1308792</v>
      </c>
      <c r="K68" s="42"/>
      <c r="L68" s="41"/>
      <c r="M68" s="166">
        <f t="shared" si="8"/>
        <v>11442</v>
      </c>
      <c r="N68" s="168" t="s">
        <v>251</v>
      </c>
      <c r="O68" s="35"/>
      <c r="P68" s="35"/>
      <c r="Q68" s="35" t="s">
        <v>130</v>
      </c>
      <c r="R68" s="35"/>
      <c r="S68" s="35"/>
      <c r="T68" s="35"/>
      <c r="U68" s="35"/>
      <c r="V68" s="337">
        <v>46266</v>
      </c>
      <c r="W68" s="338">
        <v>334401</v>
      </c>
      <c r="X68" s="339">
        <v>13376</v>
      </c>
      <c r="Y68" s="340">
        <f t="shared" si="12"/>
        <v>321025</v>
      </c>
      <c r="Z68" s="339">
        <v>837016</v>
      </c>
      <c r="AA68" s="376">
        <v>10604.641</v>
      </c>
      <c r="AB68" s="341">
        <v>821654.91599999997</v>
      </c>
      <c r="AC68" s="162">
        <v>455758.79500000004</v>
      </c>
      <c r="AD68" s="341">
        <v>516067.43300000002</v>
      </c>
      <c r="AE68" s="342"/>
      <c r="AF68" s="341">
        <v>10083.254000000001</v>
      </c>
      <c r="AG68" s="343">
        <v>9531.9599999999991</v>
      </c>
      <c r="AH68" s="341">
        <v>29683743</v>
      </c>
      <c r="AI68" s="344"/>
      <c r="AJ68" s="345"/>
      <c r="AK68" s="41"/>
      <c r="AL68" s="41"/>
    </row>
    <row r="69" spans="1:38" x14ac:dyDescent="0.2">
      <c r="A69" s="7"/>
      <c r="B69" s="23" t="s">
        <v>10</v>
      </c>
      <c r="C69" s="41"/>
      <c r="D69" s="41"/>
      <c r="E69" s="42">
        <f>ROUND(AA69,0)+ROUND($W69/1000,0)</f>
        <v>8764</v>
      </c>
      <c r="F69" s="42">
        <f>ROUND(AB69,0)+ROUND($Z69/1000,0)</f>
        <v>585754</v>
      </c>
      <c r="G69" s="42">
        <f t="shared" si="9"/>
        <v>454579</v>
      </c>
      <c r="H69" s="42">
        <f t="shared" si="10"/>
        <v>13379</v>
      </c>
      <c r="I69" s="42">
        <f t="shared" si="11"/>
        <v>10084</v>
      </c>
      <c r="J69" s="42">
        <f t="shared" si="7"/>
        <v>1072560</v>
      </c>
      <c r="K69" s="42"/>
      <c r="L69" s="41"/>
      <c r="M69" s="42">
        <f t="shared" si="8"/>
        <v>8204</v>
      </c>
      <c r="N69" s="37"/>
      <c r="O69" s="2"/>
      <c r="P69" s="2"/>
      <c r="Q69" s="2" t="str">
        <f>+Q$13</f>
        <v>RT{1}</v>
      </c>
      <c r="R69" s="2"/>
      <c r="S69" s="2"/>
      <c r="T69" s="2" t="str">
        <f>+T$13</f>
        <v>GST</v>
      </c>
      <c r="U69" s="38"/>
      <c r="V69" s="244">
        <v>46296</v>
      </c>
      <c r="W69" s="231">
        <v>559944</v>
      </c>
      <c r="X69" s="232">
        <v>24727</v>
      </c>
      <c r="Y69" s="4">
        <f t="shared" si="12"/>
        <v>535217</v>
      </c>
      <c r="Z69" s="232">
        <v>696371</v>
      </c>
      <c r="AA69" s="374">
        <v>8203.8590000000004</v>
      </c>
      <c r="AB69" s="234">
        <v>585058.36199999996</v>
      </c>
      <c r="AC69" s="42">
        <v>454603.98100000003</v>
      </c>
      <c r="AD69" s="234">
        <v>508480.06</v>
      </c>
      <c r="AF69" s="234">
        <v>10084.482</v>
      </c>
      <c r="AG69" s="240">
        <v>13379.145</v>
      </c>
      <c r="AH69" s="234">
        <v>30743986</v>
      </c>
      <c r="AJ69" s="74"/>
      <c r="AK69" s="41"/>
      <c r="AL69" s="41"/>
    </row>
    <row r="70" spans="1:38" x14ac:dyDescent="0.2">
      <c r="A70" s="7"/>
      <c r="B70" s="23" t="s">
        <v>11</v>
      </c>
      <c r="C70" s="41"/>
      <c r="D70" s="41"/>
      <c r="E70" s="42">
        <f>ROUND(AA70,0)+ROUND($W70/1000,0)</f>
        <v>11948</v>
      </c>
      <c r="F70" s="42">
        <f>ROUND(AB70,0)+ROUND($Z70/1000,0)</f>
        <v>656901</v>
      </c>
      <c r="G70" s="42">
        <f t="shared" si="9"/>
        <v>442776</v>
      </c>
      <c r="H70" s="42">
        <f t="shared" si="10"/>
        <v>12650</v>
      </c>
      <c r="I70" s="42">
        <f t="shared" si="11"/>
        <v>10086</v>
      </c>
      <c r="J70" s="42">
        <f t="shared" si="7"/>
        <v>1134361</v>
      </c>
      <c r="K70" s="42"/>
      <c r="L70" s="41"/>
      <c r="M70" s="42">
        <f t="shared" si="8"/>
        <v>11200</v>
      </c>
      <c r="N70" s="39"/>
      <c r="U70" s="40"/>
      <c r="V70" s="244">
        <v>46327</v>
      </c>
      <c r="W70" s="231">
        <v>748343</v>
      </c>
      <c r="X70" s="232">
        <v>25714</v>
      </c>
      <c r="Y70" s="4">
        <f t="shared" si="12"/>
        <v>722629</v>
      </c>
      <c r="Z70" s="232">
        <v>1048855</v>
      </c>
      <c r="AA70" s="374">
        <v>11200.157999999999</v>
      </c>
      <c r="AB70" s="234">
        <v>655852.34699999995</v>
      </c>
      <c r="AC70" s="42">
        <v>442801.51300000004</v>
      </c>
      <c r="AD70" s="234">
        <v>494150.41800000001</v>
      </c>
      <c r="AE70" s="74"/>
      <c r="AF70" s="234">
        <v>10085.763000000001</v>
      </c>
      <c r="AG70" s="240">
        <v>12650.227000000001</v>
      </c>
      <c r="AH70" s="234">
        <v>30041280</v>
      </c>
      <c r="AJ70" s="74"/>
      <c r="AK70" s="41"/>
      <c r="AL70" s="41"/>
    </row>
    <row r="71" spans="1:38" x14ac:dyDescent="0.2">
      <c r="A71" s="7"/>
      <c r="B71" s="23" t="s">
        <v>12</v>
      </c>
      <c r="C71" s="41"/>
      <c r="D71" s="41"/>
      <c r="E71" s="42">
        <f>ROUND(AA71,0)+ROUND($W71/1000,0)</f>
        <v>17569</v>
      </c>
      <c r="F71" s="42">
        <f>ROUND(AB71,0)+ROUND($Z71/1000,0)</f>
        <v>834560</v>
      </c>
      <c r="G71" s="42">
        <f t="shared" si="9"/>
        <v>504665</v>
      </c>
      <c r="H71" s="42">
        <f t="shared" si="10"/>
        <v>17090</v>
      </c>
      <c r="I71" s="42">
        <f t="shared" si="11"/>
        <v>10088</v>
      </c>
      <c r="J71" s="42">
        <f t="shared" si="7"/>
        <v>1383972</v>
      </c>
      <c r="K71" s="42"/>
      <c r="L71" s="41"/>
      <c r="M71" s="167">
        <f t="shared" si="8"/>
        <v>16686</v>
      </c>
      <c r="N71" s="43"/>
      <c r="O71" s="44"/>
      <c r="P71" s="97" t="s">
        <v>148</v>
      </c>
      <c r="Q71" s="4">
        <f>SUM(E60:E64,E69:E71)</f>
        <v>115223</v>
      </c>
      <c r="R71" s="4"/>
      <c r="S71" s="97" t="s">
        <v>148</v>
      </c>
      <c r="T71" s="4">
        <f>SUM(H60:H64,H69:H71)</f>
        <v>113111</v>
      </c>
      <c r="U71" s="45"/>
      <c r="V71" s="244">
        <v>46357</v>
      </c>
      <c r="W71" s="246">
        <v>883278</v>
      </c>
      <c r="X71" s="245">
        <v>18583</v>
      </c>
      <c r="Y71" s="4">
        <f t="shared" si="12"/>
        <v>864695</v>
      </c>
      <c r="Z71" s="245">
        <v>1583127</v>
      </c>
      <c r="AA71" s="374">
        <v>16686.431</v>
      </c>
      <c r="AB71" s="243">
        <v>832977.33900000004</v>
      </c>
      <c r="AC71" s="167">
        <v>504684.48200000008</v>
      </c>
      <c r="AD71" s="243">
        <v>550098.08700000006</v>
      </c>
      <c r="AE71" s="8"/>
      <c r="AF71" s="234">
        <v>10087.856</v>
      </c>
      <c r="AG71" s="240">
        <v>17090.401000000002</v>
      </c>
      <c r="AH71" s="243">
        <v>34979603</v>
      </c>
      <c r="AJ71" s="74"/>
      <c r="AK71" s="41"/>
      <c r="AL71" s="41"/>
    </row>
    <row r="72" spans="1:38" x14ac:dyDescent="0.2">
      <c r="A72" s="7"/>
      <c r="B72" s="50" t="s">
        <v>13</v>
      </c>
      <c r="C72" s="4"/>
      <c r="D72" s="4"/>
      <c r="E72" s="4">
        <f>SUM(E60:E71)</f>
        <v>174791</v>
      </c>
      <c r="F72" s="4">
        <f>SUM(F60:F71)</f>
        <v>9648556</v>
      </c>
      <c r="G72" s="4">
        <f>SUM(G60:G71)</f>
        <v>5805619</v>
      </c>
      <c r="H72" s="4">
        <f>SUM(H60:H71)</f>
        <v>167062</v>
      </c>
      <c r="I72" s="4">
        <f>SUM(I60:I71)</f>
        <v>120947</v>
      </c>
      <c r="J72" s="4">
        <f t="shared" si="7"/>
        <v>15916975</v>
      </c>
      <c r="K72" s="4"/>
      <c r="L72" s="4"/>
      <c r="M72" s="4">
        <f>SUM(M60:M71)</f>
        <v>166729</v>
      </c>
      <c r="N72" s="43"/>
      <c r="O72" s="44"/>
      <c r="P72" s="73" t="s">
        <v>146</v>
      </c>
      <c r="Q72" s="4">
        <f>SUMPRODUCT(E15:E19,E60:E64)+SUMPRODUCT(E24:E26,E69:E71)</f>
        <v>54775.6587</v>
      </c>
      <c r="R72">
        <f>Q72/Q71</f>
        <v>0.47538823585568851</v>
      </c>
      <c r="S72" s="73" t="s">
        <v>177</v>
      </c>
      <c r="T72" s="4">
        <f>SUMPRODUCT(H15:H19,H60:H64)+SUMPRODUCT(H24:H26,H69:H71)</f>
        <v>59565.486000000004</v>
      </c>
      <c r="U72" s="40">
        <f>T72/T71</f>
        <v>0.52661090433291191</v>
      </c>
      <c r="W72" s="4">
        <f t="shared" ref="W72:AF72" si="13">SUM(W60:W71)</f>
        <v>8062336</v>
      </c>
      <c r="X72" s="4">
        <f t="shared" si="13"/>
        <v>205070</v>
      </c>
      <c r="Y72" s="4">
        <f t="shared" si="13"/>
        <v>7857266</v>
      </c>
      <c r="Z72" s="4">
        <f t="shared" si="13"/>
        <v>14136455</v>
      </c>
      <c r="AA72" s="4">
        <f t="shared" si="13"/>
        <v>162486.83600000001</v>
      </c>
      <c r="AB72" s="4">
        <f t="shared" si="13"/>
        <v>9638664.1730000004</v>
      </c>
      <c r="AC72" s="4">
        <f t="shared" si="13"/>
        <v>5805824.4359999998</v>
      </c>
      <c r="AD72" s="4">
        <f t="shared" si="13"/>
        <v>6437151.5419999994</v>
      </c>
      <c r="AE72" s="249"/>
      <c r="AF72" s="4">
        <f t="shared" si="13"/>
        <v>120946.35400000001</v>
      </c>
      <c r="AG72" s="4">
        <f>SUM(AG60:AG71)</f>
        <v>167063.535</v>
      </c>
      <c r="AH72" s="248">
        <f>SUM(AH60:AH71)</f>
        <v>390793763</v>
      </c>
      <c r="AJ72" s="257"/>
      <c r="AK72" s="258"/>
      <c r="AL72" s="258"/>
    </row>
    <row r="73" spans="1:38" x14ac:dyDescent="0.2">
      <c r="A73" s="7"/>
      <c r="B73" s="23"/>
      <c r="G73" s="42" t="s">
        <v>298</v>
      </c>
      <c r="K73" s="51"/>
      <c r="N73" s="43"/>
      <c r="O73" s="44"/>
      <c r="P73" s="73" t="s">
        <v>145</v>
      </c>
      <c r="Q73" s="4">
        <f>+Q71-Q72</f>
        <v>60447.3413</v>
      </c>
      <c r="S73" s="73" t="s">
        <v>178</v>
      </c>
      <c r="T73" s="4">
        <f>+T71-T72</f>
        <v>53545.513999999996</v>
      </c>
      <c r="U73" s="40"/>
      <c r="AD73" s="237"/>
      <c r="AE73" s="238"/>
      <c r="AG73" s="237"/>
      <c r="AH73" s="238"/>
      <c r="AK73" s="4" t="s">
        <v>251</v>
      </c>
    </row>
    <row r="74" spans="1:38" ht="15.75" x14ac:dyDescent="0.25">
      <c r="A74" s="7"/>
      <c r="N74" s="39"/>
      <c r="U74" s="40"/>
      <c r="V74" s="5" t="s">
        <v>181</v>
      </c>
      <c r="W74" t="s">
        <v>185</v>
      </c>
      <c r="X74" s="257" t="s">
        <v>412</v>
      </c>
      <c r="Y74" s="257" t="s">
        <v>411</v>
      </c>
      <c r="Z74" s="257" t="s">
        <v>410</v>
      </c>
      <c r="AB74" s="18" t="s">
        <v>285</v>
      </c>
      <c r="AC74" s="18" t="s">
        <v>286</v>
      </c>
      <c r="AE74" s="13"/>
      <c r="AK74" s="4" t="s">
        <v>251</v>
      </c>
    </row>
    <row r="75" spans="1:38" x14ac:dyDescent="0.2">
      <c r="A75" s="6" t="s">
        <v>37</v>
      </c>
      <c r="B75" s="1" t="s">
        <v>19</v>
      </c>
      <c r="G75" s="52" t="s">
        <v>32</v>
      </c>
      <c r="H75" s="1" t="s">
        <v>175</v>
      </c>
      <c r="N75" s="43"/>
      <c r="O75" s="44"/>
      <c r="P75" s="93" t="s">
        <v>149</v>
      </c>
      <c r="Q75" s="4">
        <f>+SUM(E65:E68)</f>
        <v>59568</v>
      </c>
      <c r="R75" s="2"/>
      <c r="S75" s="93" t="s">
        <v>149</v>
      </c>
      <c r="T75" s="4">
        <f>+SUM(H65:H68)</f>
        <v>53951</v>
      </c>
      <c r="U75" s="38"/>
      <c r="V75" s="4">
        <f t="shared" ref="V75:V86" si="14">W60-W75</f>
        <v>234164</v>
      </c>
      <c r="W75" s="4">
        <f t="shared" ref="W75:W86" si="15">SUM(X75:Z75)</f>
        <v>382704</v>
      </c>
      <c r="X75" s="233">
        <v>9880</v>
      </c>
      <c r="Y75" s="232">
        <v>368419</v>
      </c>
      <c r="Z75" s="232">
        <v>4405</v>
      </c>
      <c r="AA75" s="4"/>
      <c r="AB75" s="100">
        <f t="shared" ref="AB75:AB86" si="16">(V75*$AA$94+W75*$AA$95)/1000</f>
        <v>137.8339743589743</v>
      </c>
      <c r="AC75" s="100">
        <f t="shared" ref="AC75:AC86" si="17">(W60/1000)-AB75</f>
        <v>479.03402564102578</v>
      </c>
      <c r="AG75" s="4"/>
    </row>
    <row r="76" spans="1:38" x14ac:dyDescent="0.2">
      <c r="A76" s="7"/>
      <c r="B76" s="15" t="s">
        <v>21</v>
      </c>
      <c r="G76" s="18"/>
      <c r="H76" s="16" t="s">
        <v>174</v>
      </c>
      <c r="N76" s="43"/>
      <c r="O76" s="44"/>
      <c r="P76" s="73" t="s">
        <v>146</v>
      </c>
      <c r="Q76" s="4">
        <f>+SUMPRODUCT(E20:E23,E65:E68)</f>
        <v>30539.264900000002</v>
      </c>
      <c r="R76">
        <f>Q76/Q75</f>
        <v>0.51267903740263232</v>
      </c>
      <c r="S76" s="5" t="s">
        <v>177</v>
      </c>
      <c r="T76" s="4">
        <f>+SUMPRODUCT(H20:H23,H65:H68)</f>
        <v>30000.484699999997</v>
      </c>
      <c r="U76" s="40">
        <f>T76/T75</f>
        <v>0.55606911271338799</v>
      </c>
      <c r="V76" s="4">
        <f t="shared" si="14"/>
        <v>194512</v>
      </c>
      <c r="W76" s="4">
        <f t="shared" si="15"/>
        <v>326204</v>
      </c>
      <c r="X76" s="233">
        <v>8930</v>
      </c>
      <c r="Y76" s="232">
        <v>314279</v>
      </c>
      <c r="Z76" s="232">
        <v>2995</v>
      </c>
      <c r="AA76" s="4"/>
      <c r="AB76" s="100">
        <f t="shared" si="16"/>
        <v>116.88009615384613</v>
      </c>
      <c r="AC76" s="100">
        <f t="shared" si="17"/>
        <v>403.83590384615388</v>
      </c>
      <c r="AF76">
        <f>AA60/1000</f>
        <v>19.317194999999998</v>
      </c>
      <c r="AG76">
        <f>AB60/1000</f>
        <v>895.72821699999997</v>
      </c>
    </row>
    <row r="77" spans="1:38" x14ac:dyDescent="0.2">
      <c r="A77" s="7"/>
      <c r="D77" s="2" t="s">
        <v>169</v>
      </c>
      <c r="G77" s="2"/>
      <c r="N77" s="53"/>
      <c r="O77" s="54"/>
      <c r="P77" s="98" t="s">
        <v>145</v>
      </c>
      <c r="Q77" s="55">
        <f>Q75-Q76</f>
        <v>29028.735099999998</v>
      </c>
      <c r="R77" s="48"/>
      <c r="S77" s="110" t="s">
        <v>178</v>
      </c>
      <c r="T77" s="55">
        <f>T75-T76</f>
        <v>23950.515300000003</v>
      </c>
      <c r="U77" s="49"/>
      <c r="V77" s="4">
        <f t="shared" si="14"/>
        <v>204852</v>
      </c>
      <c r="W77" s="4">
        <f t="shared" si="15"/>
        <v>320218</v>
      </c>
      <c r="X77" s="233">
        <v>8898</v>
      </c>
      <c r="Y77" s="232">
        <v>308346</v>
      </c>
      <c r="Z77" s="232">
        <v>2974</v>
      </c>
      <c r="AA77" s="4"/>
      <c r="AB77" s="100">
        <f t="shared" si="16"/>
        <v>116.39116987179484</v>
      </c>
      <c r="AC77" s="100">
        <f t="shared" si="17"/>
        <v>408.67883012820522</v>
      </c>
      <c r="AD77" s="4">
        <f>SUM(AB65:AB68)</f>
        <v>4035705.932</v>
      </c>
      <c r="AF77">
        <f t="shared" ref="AF77:AG87" si="18">AA61/1000</f>
        <v>16.488765999999998</v>
      </c>
      <c r="AG77">
        <f t="shared" si="18"/>
        <v>737.07212800000002</v>
      </c>
    </row>
    <row r="78" spans="1:38" x14ac:dyDescent="0.2">
      <c r="A78" s="7"/>
      <c r="C78" s="2" t="s">
        <v>14</v>
      </c>
      <c r="D78" s="2" t="s">
        <v>170</v>
      </c>
      <c r="E78" s="2" t="s">
        <v>15</v>
      </c>
      <c r="H78" s="2" t="s">
        <v>14</v>
      </c>
      <c r="I78" s="2" t="s">
        <v>15</v>
      </c>
      <c r="N78" s="39"/>
      <c r="Q78" t="s">
        <v>58</v>
      </c>
      <c r="U78" s="40"/>
      <c r="V78" s="4">
        <f t="shared" si="14"/>
        <v>318338</v>
      </c>
      <c r="W78" s="4">
        <f t="shared" si="15"/>
        <v>539629</v>
      </c>
      <c r="X78" s="233">
        <v>17112</v>
      </c>
      <c r="Y78" s="232">
        <v>516028</v>
      </c>
      <c r="Z78" s="232">
        <v>6489</v>
      </c>
      <c r="AA78" s="4"/>
      <c r="AB78" s="100">
        <f t="shared" si="16"/>
        <v>192.94188530219773</v>
      </c>
      <c r="AC78" s="100">
        <f t="shared" si="17"/>
        <v>665.02511469780222</v>
      </c>
      <c r="AF78">
        <f t="shared" si="18"/>
        <v>15.462710999999999</v>
      </c>
      <c r="AG78">
        <f t="shared" si="18"/>
        <v>705.13097900000002</v>
      </c>
    </row>
    <row r="79" spans="1:38" x14ac:dyDescent="0.2">
      <c r="A79" s="7"/>
      <c r="B79" s="23" t="s">
        <v>1</v>
      </c>
      <c r="C79" s="57">
        <v>101.55</v>
      </c>
      <c r="D79" s="380">
        <v>0.80029290029730349</v>
      </c>
      <c r="E79" s="381">
        <f t="shared" ref="E79:E90" si="19">ROUND(C79*D79,3)</f>
        <v>81.27</v>
      </c>
      <c r="H79" s="28">
        <v>0.82044113274531372</v>
      </c>
      <c r="I79" s="28">
        <v>0.84842770359428821</v>
      </c>
      <c r="N79" s="37"/>
      <c r="O79" s="2"/>
      <c r="P79" s="2"/>
      <c r="Q79" s="2" t="str">
        <f>+Q$13</f>
        <v>RT{1}</v>
      </c>
      <c r="R79" s="2"/>
      <c r="S79" s="2"/>
      <c r="T79" s="2" t="str">
        <f>+T$13</f>
        <v>GST</v>
      </c>
      <c r="U79" s="38"/>
      <c r="V79" s="4">
        <f t="shared" si="14"/>
        <v>372180</v>
      </c>
      <c r="W79" s="4">
        <f t="shared" si="15"/>
        <v>606976</v>
      </c>
      <c r="X79" s="233">
        <v>16097</v>
      </c>
      <c r="Y79" s="232">
        <v>583222</v>
      </c>
      <c r="Z79" s="232">
        <v>7657</v>
      </c>
      <c r="AA79" s="4"/>
      <c r="AB79" s="100">
        <f t="shared" si="16"/>
        <v>218.70157509157508</v>
      </c>
      <c r="AC79" s="100">
        <f t="shared" si="17"/>
        <v>760.45442490842493</v>
      </c>
      <c r="AF79">
        <f t="shared" si="18"/>
        <v>11.212024999999999</v>
      </c>
      <c r="AG79">
        <f t="shared" si="18"/>
        <v>550.00979799999993</v>
      </c>
    </row>
    <row r="80" spans="1:38" x14ac:dyDescent="0.2">
      <c r="A80" s="7"/>
      <c r="B80" s="23" t="s">
        <v>2</v>
      </c>
      <c r="C80" s="57">
        <v>90.6</v>
      </c>
      <c r="D80" s="94">
        <f>+$D$79</f>
        <v>0.80029290029730349</v>
      </c>
      <c r="E80" s="381">
        <f t="shared" si="19"/>
        <v>72.507000000000005</v>
      </c>
      <c r="H80" s="151">
        <f>H79</f>
        <v>0.82044113274531372</v>
      </c>
      <c r="I80" s="151">
        <f>I79</f>
        <v>0.84842770359428821</v>
      </c>
      <c r="N80" s="39"/>
      <c r="U80" s="40"/>
      <c r="V80" s="4">
        <f t="shared" si="14"/>
        <v>266875</v>
      </c>
      <c r="W80" s="4">
        <f t="shared" si="15"/>
        <v>402770</v>
      </c>
      <c r="X80" s="233">
        <v>17004</v>
      </c>
      <c r="Y80" s="232">
        <v>382306</v>
      </c>
      <c r="Z80" s="232">
        <v>3460</v>
      </c>
      <c r="AA80" s="4"/>
      <c r="AB80" s="100">
        <f t="shared" si="16"/>
        <v>147.49344093406592</v>
      </c>
      <c r="AC80" s="100">
        <f t="shared" si="17"/>
        <v>522.15155906593407</v>
      </c>
      <c r="AF80">
        <f t="shared" si="18"/>
        <v>10.961432</v>
      </c>
      <c r="AG80">
        <f t="shared" si="18"/>
        <v>641.12907099999995</v>
      </c>
      <c r="AK80" s="257" t="s">
        <v>251</v>
      </c>
    </row>
    <row r="81" spans="1:33" x14ac:dyDescent="0.2">
      <c r="A81" s="7"/>
      <c r="B81" s="23" t="s">
        <v>3</v>
      </c>
      <c r="C81" s="57">
        <v>61.65</v>
      </c>
      <c r="D81" s="94">
        <f>+$D$79</f>
        <v>0.80029290029730349</v>
      </c>
      <c r="E81" s="381">
        <f t="shared" si="19"/>
        <v>49.338000000000001</v>
      </c>
      <c r="H81" s="151">
        <f>H79</f>
        <v>0.82044113274531372</v>
      </c>
      <c r="I81" s="151">
        <f>I79</f>
        <v>0.84842770359428821</v>
      </c>
      <c r="N81" s="43"/>
      <c r="O81" s="44"/>
      <c r="P81" s="97" t="s">
        <v>26</v>
      </c>
      <c r="Q81" s="4"/>
      <c r="R81" s="4"/>
      <c r="S81" s="97" t="s">
        <v>26</v>
      </c>
      <c r="T81" s="4"/>
      <c r="U81" s="45"/>
      <c r="V81" s="4">
        <f t="shared" si="14"/>
        <v>304343</v>
      </c>
      <c r="W81" s="4">
        <f t="shared" si="15"/>
        <v>483293</v>
      </c>
      <c r="X81" s="233">
        <v>13008</v>
      </c>
      <c r="Y81" s="232">
        <v>466393</v>
      </c>
      <c r="Z81" s="232">
        <v>3892</v>
      </c>
      <c r="AA81" s="4"/>
      <c r="AB81" s="100">
        <f t="shared" si="16"/>
        <v>175.0895318223443</v>
      </c>
      <c r="AC81" s="100">
        <f t="shared" si="17"/>
        <v>612.5464681776557</v>
      </c>
      <c r="AF81">
        <f t="shared" si="18"/>
        <v>11.991019</v>
      </c>
      <c r="AG81">
        <f t="shared" si="18"/>
        <v>876.16761899999995</v>
      </c>
    </row>
    <row r="82" spans="1:33" x14ac:dyDescent="0.2">
      <c r="A82" s="7"/>
      <c r="B82" s="23" t="s">
        <v>4</v>
      </c>
      <c r="C82" s="57">
        <v>61.95</v>
      </c>
      <c r="D82" s="94">
        <f>+$D$79</f>
        <v>0.80029290029730349</v>
      </c>
      <c r="E82" s="381">
        <f t="shared" si="19"/>
        <v>49.578000000000003</v>
      </c>
      <c r="H82" s="151">
        <f>H79</f>
        <v>0.82044113274531372</v>
      </c>
      <c r="I82" s="151">
        <f>I79</f>
        <v>0.84842770359428821</v>
      </c>
      <c r="N82" s="43"/>
      <c r="O82" s="44"/>
      <c r="P82" s="73" t="s">
        <v>147</v>
      </c>
      <c r="Q82" s="4">
        <f>Q72-Q61</f>
        <v>16452.181700000001</v>
      </c>
      <c r="S82" s="73" t="s">
        <v>147</v>
      </c>
      <c r="T82" s="4">
        <f>T72-T61</f>
        <v>10837.792800000003</v>
      </c>
      <c r="U82" s="40"/>
      <c r="V82" s="4">
        <f t="shared" si="14"/>
        <v>221383</v>
      </c>
      <c r="W82" s="4">
        <f t="shared" si="15"/>
        <v>357929</v>
      </c>
      <c r="X82" s="233">
        <v>8077</v>
      </c>
      <c r="Y82" s="232">
        <v>345534</v>
      </c>
      <c r="Z82" s="232">
        <v>4318</v>
      </c>
      <c r="AA82" s="4"/>
      <c r="AB82" s="100">
        <f t="shared" si="16"/>
        <v>129.19415178571427</v>
      </c>
      <c r="AC82" s="100">
        <f t="shared" si="17"/>
        <v>450.11784821428574</v>
      </c>
      <c r="AF82">
        <f t="shared" si="18"/>
        <v>15.697191</v>
      </c>
      <c r="AG82">
        <f t="shared" si="18"/>
        <v>1217.293087</v>
      </c>
    </row>
    <row r="83" spans="1:33" x14ac:dyDescent="0.2">
      <c r="A83" s="7"/>
      <c r="B83" s="23" t="s">
        <v>5</v>
      </c>
      <c r="C83" s="57">
        <v>61.15</v>
      </c>
      <c r="D83" s="94">
        <f>+$D$79</f>
        <v>0.80029290029730349</v>
      </c>
      <c r="E83" s="381">
        <f t="shared" si="19"/>
        <v>48.938000000000002</v>
      </c>
      <c r="H83" s="151">
        <f>H79</f>
        <v>0.82044113274531372</v>
      </c>
      <c r="I83" s="151">
        <f>I79</f>
        <v>0.84842770359428821</v>
      </c>
      <c r="N83" s="43"/>
      <c r="O83" s="44"/>
      <c r="P83" s="73" t="s">
        <v>150</v>
      </c>
      <c r="Q83" s="117">
        <f>Q82*(E117-E118)</f>
        <v>197611.4406145899</v>
      </c>
      <c r="S83" s="73" t="s">
        <v>150</v>
      </c>
      <c r="T83" s="117">
        <f>T82*(H117-H118)</f>
        <v>123759.7984141928</v>
      </c>
      <c r="U83" s="40"/>
      <c r="V83" s="4">
        <f t="shared" si="14"/>
        <v>138150</v>
      </c>
      <c r="W83" s="4">
        <f t="shared" si="15"/>
        <v>196251</v>
      </c>
      <c r="X83" s="233">
        <v>10135</v>
      </c>
      <c r="Y83" s="232">
        <v>184267</v>
      </c>
      <c r="Z83" s="232">
        <v>1849</v>
      </c>
      <c r="AA83" s="4"/>
      <c r="AB83" s="100">
        <f t="shared" si="16"/>
        <v>72.83264766483515</v>
      </c>
      <c r="AC83" s="100">
        <f t="shared" si="17"/>
        <v>261.56835233516483</v>
      </c>
      <c r="AF83">
        <f t="shared" si="18"/>
        <v>14.661408</v>
      </c>
      <c r="AG83">
        <f t="shared" si="18"/>
        <v>1120.59031</v>
      </c>
    </row>
    <row r="84" spans="1:33" x14ac:dyDescent="0.2">
      <c r="A84" s="7"/>
      <c r="B84" s="23" t="s">
        <v>6</v>
      </c>
      <c r="C84" s="382">
        <v>67.3</v>
      </c>
      <c r="D84" s="383">
        <v>0.54899059957335761</v>
      </c>
      <c r="E84" s="384">
        <f t="shared" si="19"/>
        <v>36.947000000000003</v>
      </c>
      <c r="H84" s="107">
        <v>0.76983647197224747</v>
      </c>
      <c r="I84" s="108">
        <v>0.81124319036463</v>
      </c>
      <c r="N84" s="39"/>
      <c r="Q84" s="3"/>
      <c r="T84" s="3"/>
      <c r="U84" s="40"/>
      <c r="V84" s="4">
        <f t="shared" si="14"/>
        <v>219196</v>
      </c>
      <c r="W84" s="4">
        <f t="shared" si="15"/>
        <v>340748</v>
      </c>
      <c r="X84" s="233">
        <v>19750</v>
      </c>
      <c r="Y84" s="232">
        <v>317416</v>
      </c>
      <c r="Z84" s="232">
        <v>3582</v>
      </c>
      <c r="AA84" s="4"/>
      <c r="AB84" s="100">
        <f t="shared" si="16"/>
        <v>123.99740384615383</v>
      </c>
      <c r="AC84" s="100">
        <f t="shared" si="17"/>
        <v>435.94659615384614</v>
      </c>
      <c r="AF84">
        <f t="shared" si="18"/>
        <v>10.604640999999999</v>
      </c>
      <c r="AG84">
        <f t="shared" si="18"/>
        <v>821.65491599999996</v>
      </c>
    </row>
    <row r="85" spans="1:33" x14ac:dyDescent="0.2">
      <c r="A85" s="7"/>
      <c r="B85" s="23" t="s">
        <v>7</v>
      </c>
      <c r="C85" s="385">
        <v>97</v>
      </c>
      <c r="D85" s="185">
        <f>+$D$84</f>
        <v>0.54899059957335761</v>
      </c>
      <c r="E85" s="386">
        <f t="shared" si="19"/>
        <v>53.252000000000002</v>
      </c>
      <c r="H85" s="149">
        <f t="shared" ref="H85:I87" si="20">H84</f>
        <v>0.76983647197224747</v>
      </c>
      <c r="I85" s="387">
        <f t="shared" si="20"/>
        <v>0.81124319036463</v>
      </c>
      <c r="N85" s="43"/>
      <c r="O85" s="44"/>
      <c r="P85" s="93" t="s">
        <v>25</v>
      </c>
      <c r="Q85" s="3"/>
      <c r="R85" s="2"/>
      <c r="S85" s="93" t="s">
        <v>25</v>
      </c>
      <c r="T85" s="3"/>
      <c r="U85" s="38"/>
      <c r="V85" s="4">
        <f t="shared" si="14"/>
        <v>306097</v>
      </c>
      <c r="W85" s="4">
        <f t="shared" si="15"/>
        <v>442246</v>
      </c>
      <c r="X85" s="233">
        <v>21870</v>
      </c>
      <c r="Y85" s="232">
        <v>415033</v>
      </c>
      <c r="Z85" s="232">
        <v>5343</v>
      </c>
      <c r="AA85" s="4"/>
      <c r="AB85" s="100">
        <f t="shared" si="16"/>
        <v>163.50484661172158</v>
      </c>
      <c r="AC85" s="100">
        <f t="shared" si="17"/>
        <v>584.83815338827844</v>
      </c>
      <c r="AF85">
        <f t="shared" si="18"/>
        <v>8.2038589999999996</v>
      </c>
      <c r="AG85">
        <f t="shared" si="18"/>
        <v>585.05836199999999</v>
      </c>
    </row>
    <row r="86" spans="1:33" x14ac:dyDescent="0.2">
      <c r="A86" s="7"/>
      <c r="B86" s="23" t="s">
        <v>8</v>
      </c>
      <c r="C86" s="385">
        <v>80.5</v>
      </c>
      <c r="D86" s="185">
        <f>+$D$84</f>
        <v>0.54899059957335761</v>
      </c>
      <c r="E86" s="386">
        <f t="shared" si="19"/>
        <v>44.194000000000003</v>
      </c>
      <c r="H86" s="149">
        <f t="shared" si="20"/>
        <v>0.76983647197224747</v>
      </c>
      <c r="I86" s="387">
        <f t="shared" si="20"/>
        <v>0.81124319036463</v>
      </c>
      <c r="N86" s="43"/>
      <c r="O86" s="44"/>
      <c r="P86" s="73" t="s">
        <v>147</v>
      </c>
      <c r="Q86" s="4">
        <f>Q76-Q65</f>
        <v>7216.0330000000031</v>
      </c>
      <c r="S86" s="73" t="s">
        <v>147</v>
      </c>
      <c r="T86" s="4">
        <f>T76-T65</f>
        <v>5504.6831999999995</v>
      </c>
      <c r="U86" s="40"/>
      <c r="V86" s="4">
        <f t="shared" si="14"/>
        <v>357055</v>
      </c>
      <c r="W86" s="4">
        <f t="shared" si="15"/>
        <v>526223</v>
      </c>
      <c r="X86" s="247">
        <v>15456</v>
      </c>
      <c r="Y86" s="245">
        <v>506115</v>
      </c>
      <c r="Z86" s="245">
        <v>4652</v>
      </c>
      <c r="AA86" s="4"/>
      <c r="AB86" s="100">
        <f t="shared" si="16"/>
        <v>193.69928228021971</v>
      </c>
      <c r="AC86" s="100">
        <f t="shared" si="17"/>
        <v>689.57871771978034</v>
      </c>
      <c r="AF86">
        <f>AA70/1000</f>
        <v>11.200158</v>
      </c>
      <c r="AG86">
        <f>AB70/1000</f>
        <v>655.8523469999999</v>
      </c>
    </row>
    <row r="87" spans="1:33" x14ac:dyDescent="0.2">
      <c r="A87" s="7"/>
      <c r="B87" s="23" t="s">
        <v>9</v>
      </c>
      <c r="C87" s="388">
        <v>68.95</v>
      </c>
      <c r="D87" s="389">
        <f>+$D$84</f>
        <v>0.54899059957335761</v>
      </c>
      <c r="E87" s="390">
        <f t="shared" si="19"/>
        <v>37.853000000000002</v>
      </c>
      <c r="H87" s="150">
        <f t="shared" si="20"/>
        <v>0.76983647197224747</v>
      </c>
      <c r="I87" s="391">
        <f t="shared" si="20"/>
        <v>0.81124319036463</v>
      </c>
      <c r="N87" s="53"/>
      <c r="O87" s="54"/>
      <c r="P87" s="98" t="s">
        <v>150</v>
      </c>
      <c r="Q87" s="118">
        <f>Q86*(E113-E114)</f>
        <v>211478.1688584722</v>
      </c>
      <c r="R87" s="48"/>
      <c r="S87" s="98" t="s">
        <v>150</v>
      </c>
      <c r="T87" s="118">
        <f>T86*(H113-H114)</f>
        <v>159084.02303837915</v>
      </c>
      <c r="U87" s="49"/>
      <c r="V87" s="4">
        <f>SUM(V75:V86)</f>
        <v>3137145</v>
      </c>
      <c r="W87" s="4">
        <f>SUM(W75:W86)</f>
        <v>4925191</v>
      </c>
      <c r="X87" s="4">
        <f>SUM(X75:X86)</f>
        <v>166217</v>
      </c>
      <c r="Y87" s="4">
        <f>SUM(Y75:Y86)</f>
        <v>4707358</v>
      </c>
      <c r="Z87" s="4">
        <f>SUM(Z75:Z86)</f>
        <v>51616</v>
      </c>
      <c r="AA87" s="4"/>
      <c r="AB87" s="4">
        <f>SUM(AB75:AB86)</f>
        <v>1788.5600057234431</v>
      </c>
      <c r="AC87" s="4">
        <f>SUM(AC75:AC86)</f>
        <v>6273.775994276557</v>
      </c>
      <c r="AF87">
        <f t="shared" si="18"/>
        <v>16.686430999999999</v>
      </c>
      <c r="AG87">
        <f t="shared" si="18"/>
        <v>832.97733900000003</v>
      </c>
    </row>
    <row r="88" spans="1:33" x14ac:dyDescent="0.2">
      <c r="A88" s="7"/>
      <c r="B88" s="23" t="s">
        <v>10</v>
      </c>
      <c r="C88" s="57">
        <v>67.150000000000006</v>
      </c>
      <c r="D88" s="94">
        <f>+$D$79</f>
        <v>0.80029290029730349</v>
      </c>
      <c r="E88" s="381">
        <f t="shared" si="19"/>
        <v>53.74</v>
      </c>
      <c r="H88" s="151">
        <f>H79</f>
        <v>0.82044113274531372</v>
      </c>
      <c r="I88" s="151">
        <f>I79</f>
        <v>0.84842770359428821</v>
      </c>
      <c r="W88" s="258" t="s">
        <v>251</v>
      </c>
      <c r="Z88" s="258" t="s">
        <v>251</v>
      </c>
    </row>
    <row r="89" spans="1:33" x14ac:dyDescent="0.2">
      <c r="A89" s="7"/>
      <c r="B89" s="23" t="s">
        <v>11</v>
      </c>
      <c r="C89" s="57">
        <v>67.3</v>
      </c>
      <c r="D89" s="94">
        <f>+$D$79</f>
        <v>0.80029290029730349</v>
      </c>
      <c r="E89" s="381">
        <f t="shared" si="19"/>
        <v>53.86</v>
      </c>
      <c r="H89" s="151">
        <f>H79</f>
        <v>0.82044113274531372</v>
      </c>
      <c r="I89" s="151">
        <f>I79</f>
        <v>0.84842770359428821</v>
      </c>
    </row>
    <row r="90" spans="1:33" x14ac:dyDescent="0.2">
      <c r="A90" s="7"/>
      <c r="B90" s="23" t="s">
        <v>12</v>
      </c>
      <c r="C90" s="57">
        <v>76.8</v>
      </c>
      <c r="D90" s="94">
        <f>+$D$79</f>
        <v>0.80029290029730349</v>
      </c>
      <c r="E90" s="381">
        <f t="shared" si="19"/>
        <v>61.462000000000003</v>
      </c>
      <c r="G90" s="28"/>
      <c r="H90" s="151">
        <f>H79</f>
        <v>0.82044113274531372</v>
      </c>
      <c r="I90" s="151">
        <f>I79</f>
        <v>0.84842770359428821</v>
      </c>
    </row>
    <row r="91" spans="1:33" x14ac:dyDescent="0.2">
      <c r="A91" s="7"/>
      <c r="B91" s="23"/>
      <c r="C91" s="57" t="s">
        <v>251</v>
      </c>
      <c r="D91" s="57"/>
      <c r="G91" s="28"/>
      <c r="L91" s="28"/>
      <c r="X91" t="s">
        <v>210</v>
      </c>
    </row>
    <row r="92" spans="1:33" x14ac:dyDescent="0.2">
      <c r="A92" s="6" t="s">
        <v>33</v>
      </c>
      <c r="B92" s="32" t="s">
        <v>22</v>
      </c>
      <c r="C92" s="2"/>
      <c r="D92" s="2"/>
      <c r="E92" s="2" t="str">
        <f>+E$13</f>
        <v>RT{1}</v>
      </c>
      <c r="F92" s="2" t="str">
        <f>+F$13</f>
        <v>RS{2}</v>
      </c>
      <c r="G92" s="2" t="str">
        <f>+G$13</f>
        <v>GS{3}</v>
      </c>
      <c r="H92" s="2" t="str">
        <f>+H$58</f>
        <v>GST {4}</v>
      </c>
      <c r="I92" s="2" t="str">
        <f>+I$13</f>
        <v>OL/SL</v>
      </c>
      <c r="J92" s="2"/>
      <c r="K92" s="2"/>
      <c r="L92" s="2"/>
      <c r="M92" s="2"/>
      <c r="P92" s="216" t="s">
        <v>409</v>
      </c>
      <c r="Q92" t="s">
        <v>215</v>
      </c>
      <c r="R92" t="s">
        <v>216</v>
      </c>
      <c r="S92" t="s">
        <v>217</v>
      </c>
      <c r="X92" t="s">
        <v>205</v>
      </c>
      <c r="Y92" s="5" t="s">
        <v>13</v>
      </c>
      <c r="Z92" s="5" t="s">
        <v>13</v>
      </c>
      <c r="AA92" s="5" t="s">
        <v>207</v>
      </c>
    </row>
    <row r="93" spans="1:33" x14ac:dyDescent="0.2">
      <c r="A93" s="7"/>
      <c r="C93" s="5"/>
      <c r="D93" s="5"/>
      <c r="E93" s="5"/>
      <c r="F93" s="5"/>
      <c r="P93" t="s">
        <v>0</v>
      </c>
      <c r="Q93" s="170">
        <v>1885299100</v>
      </c>
      <c r="R93" s="170">
        <v>1901432290</v>
      </c>
      <c r="S93" s="42">
        <f>SUM(Q93:R93)</f>
        <v>3786731390</v>
      </c>
      <c r="X93" s="10" t="s">
        <v>206</v>
      </c>
      <c r="Y93" s="8" t="s">
        <v>207</v>
      </c>
      <c r="Z93" s="8" t="s">
        <v>208</v>
      </c>
      <c r="AA93" s="8" t="s">
        <v>209</v>
      </c>
    </row>
    <row r="94" spans="1:33" x14ac:dyDescent="0.2">
      <c r="A94" s="7"/>
      <c r="B94" s="23" t="s">
        <v>276</v>
      </c>
      <c r="C94" s="58"/>
      <c r="D94" s="58"/>
      <c r="E94" s="131">
        <v>0.105545</v>
      </c>
      <c r="F94" s="131">
        <v>0.105545</v>
      </c>
      <c r="G94" s="131">
        <v>0.105545</v>
      </c>
      <c r="H94" s="131">
        <v>0.105545</v>
      </c>
      <c r="I94" s="131">
        <v>0.105545</v>
      </c>
      <c r="J94" s="58"/>
      <c r="K94" s="58"/>
      <c r="L94" s="58"/>
      <c r="M94" s="58"/>
      <c r="P94" t="s">
        <v>249</v>
      </c>
      <c r="Q94" s="170">
        <v>139593363</v>
      </c>
      <c r="R94" s="170">
        <v>109381180</v>
      </c>
      <c r="S94" s="42">
        <f>SUM(Q94:R94)</f>
        <v>248974543</v>
      </c>
      <c r="W94" t="s">
        <v>181</v>
      </c>
      <c r="X94">
        <v>4</v>
      </c>
      <c r="Y94">
        <f>X94*365*5/7</f>
        <v>1042.8571428571429</v>
      </c>
      <c r="Z94">
        <f>365*24</f>
        <v>8760</v>
      </c>
      <c r="AA94">
        <f>Y94/Z94</f>
        <v>0.11904761904761905</v>
      </c>
    </row>
    <row r="95" spans="1:33" x14ac:dyDescent="0.2">
      <c r="A95" s="7"/>
      <c r="B95" t="s">
        <v>277</v>
      </c>
      <c r="C95" s="59"/>
      <c r="D95" s="59"/>
      <c r="E95" s="59">
        <f>1/(1-E94)</f>
        <v>1.1179992285805322</v>
      </c>
      <c r="F95" s="59">
        <f>1/(1-F94)</f>
        <v>1.1179992285805322</v>
      </c>
      <c r="G95" s="59">
        <f>1/(1-G94)</f>
        <v>1.1179992285805322</v>
      </c>
      <c r="H95" s="59">
        <f>1/(1-H94)</f>
        <v>1.1179992285805322</v>
      </c>
      <c r="I95" s="59">
        <f>1/(1-I94)</f>
        <v>1.1179992285805322</v>
      </c>
      <c r="J95" s="59"/>
      <c r="K95" s="59"/>
      <c r="L95" s="59"/>
      <c r="M95" s="59"/>
      <c r="P95" t="s">
        <v>250</v>
      </c>
      <c r="Q95" s="42">
        <f>SUM(Q93:Q94)</f>
        <v>2024892463</v>
      </c>
      <c r="R95" s="42">
        <f>SUM(R93:R94)</f>
        <v>2010813470</v>
      </c>
      <c r="S95" s="42">
        <f>SUM(S93:S94)</f>
        <v>4035705933</v>
      </c>
      <c r="T95" s="4">
        <f>SUM(F65:F68)</f>
        <v>4035706</v>
      </c>
      <c r="W95" t="s">
        <v>204</v>
      </c>
      <c r="X95">
        <f>(9*18+10*34)/52</f>
        <v>9.6538461538461533</v>
      </c>
      <c r="Y95">
        <f>X95*365*5/7</f>
        <v>2516.8956043956036</v>
      </c>
      <c r="Z95">
        <f>365*24</f>
        <v>8760</v>
      </c>
      <c r="AA95">
        <f>Y95/Z95</f>
        <v>0.28731684981684974</v>
      </c>
    </row>
    <row r="96" spans="1:33" x14ac:dyDescent="0.2">
      <c r="A96" s="7"/>
      <c r="C96" s="59"/>
      <c r="D96" s="59"/>
      <c r="E96" s="59"/>
      <c r="F96" s="59"/>
      <c r="G96" s="59"/>
      <c r="H96" s="59"/>
      <c r="I96" s="59"/>
      <c r="J96" s="59" t="s">
        <v>251</v>
      </c>
      <c r="K96" s="59"/>
      <c r="L96" s="59"/>
      <c r="M96" s="59" t="s">
        <v>251</v>
      </c>
      <c r="Q96" s="42"/>
      <c r="R96" s="42"/>
      <c r="S96" s="42"/>
      <c r="T96" s="4"/>
    </row>
    <row r="97" spans="1:41" x14ac:dyDescent="0.2">
      <c r="A97" s="7"/>
      <c r="B97" t="s">
        <v>278</v>
      </c>
      <c r="C97" s="59"/>
      <c r="D97" s="59"/>
      <c r="E97" s="210">
        <f>ROUND(1-1/E98,6)</f>
        <v>9.5313999999999996E-2</v>
      </c>
      <c r="F97" s="210">
        <f>ROUND(1-1/F98,6)</f>
        <v>9.5313999999999996E-2</v>
      </c>
      <c r="G97" s="210">
        <f>ROUND(1-1/G98,6)</f>
        <v>9.5313999999999996E-2</v>
      </c>
      <c r="H97" s="210">
        <f>ROUND(1-1/H98,6)</f>
        <v>9.5313999999999996E-2</v>
      </c>
      <c r="I97" s="210">
        <f>ROUND(1-1/I98,6)</f>
        <v>9.5313999999999996E-2</v>
      </c>
      <c r="Q97" s="42"/>
      <c r="R97" s="42"/>
      <c r="S97" s="42"/>
      <c r="T97" s="4"/>
    </row>
    <row r="98" spans="1:41" x14ac:dyDescent="0.2">
      <c r="A98" s="7"/>
      <c r="B98" t="s">
        <v>279</v>
      </c>
      <c r="C98" s="59"/>
      <c r="D98" s="59"/>
      <c r="E98" s="59">
        <v>1.1053558704023694</v>
      </c>
      <c r="F98" s="59">
        <v>1.1053558704023694</v>
      </c>
      <c r="G98" s="59">
        <v>1.1053558704023694</v>
      </c>
      <c r="H98" s="59">
        <v>1.1053558704023694</v>
      </c>
      <c r="I98" s="59">
        <v>1.1053558704023694</v>
      </c>
      <c r="Q98" s="42"/>
      <c r="R98" s="42"/>
      <c r="S98" s="42"/>
      <c r="T98" s="4"/>
    </row>
    <row r="99" spans="1:41" x14ac:dyDescent="0.2">
      <c r="A99" s="7"/>
      <c r="C99" s="59"/>
      <c r="D99" s="59"/>
      <c r="E99" s="73"/>
      <c r="F99" s="211"/>
      <c r="G99" s="59"/>
      <c r="H99" s="59"/>
      <c r="I99" s="59" t="s">
        <v>251</v>
      </c>
      <c r="J99" s="59"/>
      <c r="K99" s="59"/>
      <c r="L99" s="59"/>
      <c r="Q99" s="42"/>
      <c r="R99" s="42"/>
      <c r="S99" s="42"/>
      <c r="T99" s="4"/>
    </row>
    <row r="100" spans="1:41" x14ac:dyDescent="0.2">
      <c r="A100" s="7"/>
      <c r="C100" s="59"/>
      <c r="D100" s="59"/>
      <c r="E100" s="212"/>
      <c r="F100" s="213"/>
      <c r="G100" s="59"/>
      <c r="H100" s="59"/>
      <c r="I100" s="59"/>
      <c r="J100" s="59"/>
      <c r="K100" s="59"/>
      <c r="L100" s="210"/>
      <c r="T100" s="311"/>
    </row>
    <row r="101" spans="1:41" x14ac:dyDescent="0.2">
      <c r="A101" s="7"/>
      <c r="B101" s="31" t="s">
        <v>284</v>
      </c>
      <c r="C101" s="59"/>
      <c r="D101" s="59"/>
      <c r="E101" s="59"/>
      <c r="F101" s="59"/>
      <c r="G101" s="59"/>
      <c r="H101" s="59"/>
      <c r="I101" s="59"/>
      <c r="J101" s="211"/>
      <c r="K101" s="211"/>
      <c r="L101" s="207"/>
    </row>
    <row r="102" spans="1:41" x14ac:dyDescent="0.2">
      <c r="A102" s="7"/>
      <c r="B102" t="s">
        <v>251</v>
      </c>
      <c r="I102" s="59"/>
      <c r="J102" s="211"/>
      <c r="K102" s="211"/>
      <c r="L102" s="59"/>
    </row>
    <row r="103" spans="1:41" ht="15.75" x14ac:dyDescent="0.25">
      <c r="A103" s="7"/>
      <c r="B103" s="504" t="str">
        <f>$B$1</f>
        <v xml:space="preserve">Jersey Central Power &amp; Light </v>
      </c>
      <c r="C103" s="504"/>
      <c r="D103" s="504"/>
      <c r="E103" s="504"/>
      <c r="F103" s="504"/>
      <c r="G103" s="504"/>
      <c r="H103" s="504"/>
      <c r="I103" s="504"/>
      <c r="J103" s="504"/>
      <c r="K103" s="504"/>
      <c r="L103" s="504"/>
    </row>
    <row r="104" spans="1:41" ht="15.75" x14ac:dyDescent="0.25">
      <c r="A104" s="7"/>
      <c r="B104" s="504" t="str">
        <f>$B$2</f>
        <v>Attachment 2</v>
      </c>
      <c r="C104" s="504"/>
      <c r="D104" s="504"/>
      <c r="E104" s="504"/>
      <c r="F104" s="504"/>
      <c r="G104" s="504"/>
      <c r="H104" s="504"/>
      <c r="I104" s="504"/>
      <c r="J104" s="504"/>
      <c r="K104" s="504"/>
      <c r="L104" s="504"/>
    </row>
    <row r="105" spans="1:41" x14ac:dyDescent="0.2">
      <c r="A105" s="7"/>
    </row>
    <row r="106" spans="1:41" x14ac:dyDescent="0.2">
      <c r="A106" s="7"/>
      <c r="S106" s="446"/>
      <c r="T106" s="257"/>
    </row>
    <row r="107" spans="1:41" x14ac:dyDescent="0.2">
      <c r="A107" s="6" t="s">
        <v>34</v>
      </c>
      <c r="B107" s="1" t="s">
        <v>51</v>
      </c>
      <c r="L107" t="s">
        <v>251</v>
      </c>
      <c r="M107" s="257"/>
    </row>
    <row r="108" spans="1:41" x14ac:dyDescent="0.2">
      <c r="A108" s="7"/>
      <c r="B108" s="15" t="s">
        <v>171</v>
      </c>
      <c r="L108" t="s">
        <v>251</v>
      </c>
      <c r="S108" s="448"/>
      <c r="AF108" s="257"/>
    </row>
    <row r="109" spans="1:41" x14ac:dyDescent="0.2">
      <c r="A109" s="7"/>
      <c r="B109" s="15" t="s">
        <v>21</v>
      </c>
      <c r="S109" s="450"/>
      <c r="AC109" s="447"/>
      <c r="AF109" s="447"/>
      <c r="AG109" s="257"/>
      <c r="AH109" s="441"/>
      <c r="AN109" s="448"/>
    </row>
    <row r="110" spans="1:41" x14ac:dyDescent="0.2">
      <c r="A110" s="7"/>
      <c r="B110" s="1"/>
      <c r="C110" s="2"/>
      <c r="D110" s="2"/>
      <c r="E110" s="2" t="str">
        <f>+E$13</f>
        <v>RT{1}</v>
      </c>
      <c r="F110" s="2" t="str">
        <f>+F$13</f>
        <v>RS{2}</v>
      </c>
      <c r="G110" s="2" t="str">
        <f>+G$13</f>
        <v>GS{3}</v>
      </c>
      <c r="H110" s="2" t="str">
        <f>+H$58</f>
        <v>GST {4}</v>
      </c>
      <c r="I110" s="2" t="str">
        <f>+I$13</f>
        <v>OL/SL</v>
      </c>
      <c r="J110" s="2"/>
      <c r="K110" s="2"/>
      <c r="L110" s="2"/>
      <c r="M110" s="2"/>
      <c r="N110" s="12"/>
      <c r="P110" s="5"/>
      <c r="W110" s="441"/>
      <c r="AC110" s="448"/>
      <c r="AH110" s="2"/>
      <c r="AI110" s="12"/>
      <c r="AK110" s="5"/>
    </row>
    <row r="111" spans="1:41" x14ac:dyDescent="0.2">
      <c r="A111" s="7"/>
      <c r="R111" s="73"/>
      <c r="S111" s="445"/>
      <c r="W111" s="2"/>
      <c r="X111" s="12"/>
      <c r="Z111" s="5"/>
      <c r="AK111" s="257"/>
      <c r="AM111" s="73"/>
      <c r="AN111" s="445"/>
      <c r="AO111" s="257"/>
    </row>
    <row r="112" spans="1:41" x14ac:dyDescent="0.2">
      <c r="A112" s="7"/>
      <c r="B112" s="23" t="s">
        <v>17</v>
      </c>
      <c r="C112" s="60"/>
      <c r="D112" s="60"/>
      <c r="E112" s="61">
        <f>(SUMPRODUCT(E20:E23,E65:E68,$C84:$C87,$H84:$H87)*E95+SUMPRODUCT(Q20:Q23,E65:E68,$E84:$E87,$I84:$I87)*E95)/SUM(E65:E68)</f>
        <v>54.812464508223783</v>
      </c>
      <c r="F112" s="61">
        <f>(SUMPRODUCT(F20:F23,F65:F68,$C84:$C87,$H84:$H87)*F95+SUMPRODUCT(R20:R23,F65:F68,$E84:$E87,$I84:$I87)*F95)/SUM(F65:F68)</f>
        <v>55.34281894828289</v>
      </c>
      <c r="G112" s="61">
        <f>(SUMPRODUCT(G20:G23,G65:G68,$C84:$C87,$H84:$H87)*G95+SUMPRODUCT(S20:S23,G65:G68,$E84:$E87,$I84:$I87)*G95)/SUM(G65:G68)</f>
        <v>55.365132223945906</v>
      </c>
      <c r="H112" s="61">
        <f>(SUMPRODUCT(H20:H23,H65:H68,$C84:$C87,$H84:$H87)*H95+SUMPRODUCT(T20:T23,H65:H68,$E84:$E87,$I84:$I87)*H95)/SUM(H65:H68)</f>
        <v>55.53597761197225</v>
      </c>
      <c r="I112" s="61">
        <f>(SUMPRODUCT(I20:I23,I65:I68,$C84:$C87,$H84:$H87)*I95+SUMPRODUCT(U20:U23,I65:I68,$E84:$E87,$I84:$I87)*I95)/SUM(I65:I68)</f>
        <v>46.906474862386219</v>
      </c>
      <c r="J112" s="62"/>
      <c r="K112" s="62"/>
      <c r="L112" s="60"/>
      <c r="M112" s="442"/>
      <c r="Z112" s="257"/>
      <c r="AB112" s="73"/>
      <c r="AC112" s="445"/>
      <c r="AD112" s="257"/>
    </row>
    <row r="113" spans="1:33" x14ac:dyDescent="0.2">
      <c r="A113" s="7"/>
      <c r="B113" s="63" t="s">
        <v>41</v>
      </c>
      <c r="C113" s="60"/>
      <c r="D113" s="60"/>
      <c r="E113" s="61">
        <f>(SUMPRODUCT(E20:E23,E65:E68,$C84:$C87,$H84:$H87)*E95)/SUMPRODUCT(E20:E23,E65:E68)</f>
        <v>69.094237445852983</v>
      </c>
      <c r="F113" s="61">
        <f>(SUMPRODUCT(F20:F23,F65:F68,$C84:$C87,$H84:$H87)*F95)/SUMPRODUCT(F20:F23,F65:F68)</f>
        <v>69.215752448687397</v>
      </c>
      <c r="G113" s="61">
        <f>(SUMPRODUCT(G20:G23,G65:G68,$C84:$C87,$H84:$H87)*G95)/SUMPRODUCT(G20:G23,G65:G68)</f>
        <v>68.336552902902781</v>
      </c>
      <c r="H113" s="61">
        <f>(SUMPRODUCT(H20:H23,H65:H68,$C84:$C87,$H84:$H87)*H95)/SUMPRODUCT(H20:H23,H65:H68)</f>
        <v>68.365473685524947</v>
      </c>
      <c r="I113" s="61">
        <f>(SUMPRODUCT(I20:I23,I65:I68,$C84:$C87,$H84:$H87)*I95)/SUMPRODUCT(I20:I23,I65:I68)</f>
        <v>67.2953777601507</v>
      </c>
      <c r="J113" s="62"/>
      <c r="K113" s="62"/>
      <c r="L113" s="60"/>
      <c r="M113" s="442"/>
      <c r="S113" s="448"/>
    </row>
    <row r="114" spans="1:33" x14ac:dyDescent="0.2">
      <c r="A114" s="7"/>
      <c r="B114" s="63" t="s">
        <v>42</v>
      </c>
      <c r="C114" s="60"/>
      <c r="D114" s="60"/>
      <c r="E114" s="61">
        <f>(SUMPRODUCT(Q20:Q23,E65:E68,$E84:$E87,$I84:$I87)*E95)/SUMPRODUCT(Q20:Q23,E65:E68)</f>
        <v>39.787529888047729</v>
      </c>
      <c r="F114" s="61">
        <f>(SUMPRODUCT(R20:R23,F65:F68,$E84:$E87,$I84:$I87)*F95)/SUMPRODUCT(R20:R23,F65:F68)</f>
        <v>39.873563260903275</v>
      </c>
      <c r="G114" s="61">
        <f>(SUMPRODUCT(S20:S23,G65:G68,$E84:$E87,$I84:$I87)*G95)/SUMPRODUCT(S20:S23,G65:G68)</f>
        <v>39.441509350883308</v>
      </c>
      <c r="H114" s="61">
        <f>(SUMPRODUCT(T20:T23,H65:H68,$E84:$E87,$I84:$I87)*H95)/SUMPRODUCT(T20:T23,H65:H68)</f>
        <v>39.465713743230872</v>
      </c>
      <c r="I114" s="61">
        <f>(SUMPRODUCT(U20:U23,I65:I68,$E84:$E87,$I84:$I87)*I95)/SUMPRODUCT(U20:U23,I65:I68)</f>
        <v>39.10272908515438</v>
      </c>
      <c r="J114" s="62"/>
      <c r="K114" s="62"/>
      <c r="L114" s="60"/>
      <c r="M114" s="2"/>
      <c r="N114" s="12"/>
      <c r="P114" s="5"/>
      <c r="W114" s="441"/>
      <c r="AC114" s="448"/>
    </row>
    <row r="115" spans="1:33" x14ac:dyDescent="0.2">
      <c r="A115" s="7"/>
      <c r="C115" s="119"/>
      <c r="D115" s="119"/>
      <c r="E115" s="120"/>
      <c r="F115" s="120"/>
      <c r="G115" s="120"/>
      <c r="H115" s="120"/>
      <c r="I115" s="120"/>
      <c r="J115" s="62"/>
      <c r="K115" s="62"/>
      <c r="L115" s="119"/>
      <c r="R115" s="73"/>
      <c r="S115" s="445"/>
      <c r="W115" s="2"/>
      <c r="X115" s="12"/>
      <c r="Z115" s="5"/>
    </row>
    <row r="116" spans="1:33" x14ac:dyDescent="0.2">
      <c r="A116" s="7"/>
      <c r="B116" s="23" t="s">
        <v>18</v>
      </c>
      <c r="C116" s="60"/>
      <c r="D116" s="60"/>
      <c r="E116" s="61">
        <f>(SUMPRODUCT(E15:E19,E60:E64,$C79:$C83,$H79:$H83)*E95+SUMPRODUCT(Q15:Q19,E60:E64,$E79:$E83,$I79:$I83)*E95+SUMPRODUCT(E24:E26,E69:E71,$C88:$C90,$H88:$H90)*E95+SUMPRODUCT(Q24:Q26,E69:E71,$E88:$E90,$I88:$I90)*E95)/SUM(E60:E64,E69:E71)</f>
        <v>63.505352031257857</v>
      </c>
      <c r="F116" s="61">
        <f>(SUMPRODUCT(F15:F19,F60:F64,$C79:$C83,$H79:$H83)*F95+SUMPRODUCT(R15:R19,F60:F64,$E79:$E83,$I79:$I83)*F95+SUMPRODUCT(F24:F26,F69:F71,$C88:$C90,$H88:$H90)*F95+SUMPRODUCT(R24:R26,F69:F71,$E88:$E90,$I88:$I90)*F95)/SUM(F60:F64,F69:F71)</f>
        <v>63.035823501815095</v>
      </c>
      <c r="G116" s="61">
        <f>(SUMPRODUCT(G15:G19,G60:G64,$C79:$C83,$H79:$H83)*G95+SUMPRODUCT(S15:S19,G60:G64,$E79:$E83,$I79:$I83)*G95+SUMPRODUCT(G24:G26,G69:G71,$C88:$C90,$H88:$H90)*G95+SUMPRODUCT(S24:S26,G69:G71,$E88:$E90,$I88:$I90)*G95)/SUM(G60:G64,G69:G71)</f>
        <v>62.267500248535086</v>
      </c>
      <c r="H116" s="61">
        <f>(SUMPRODUCT(H15:H19,H60:H64,$C79:$C83,$H79:$H83)*H95+SUMPRODUCT(T15:T19,H60:H64,$E79:$E83,$I79:$I83)*H95+SUMPRODUCT(H24:H26,H69:H71,$C88:$C90,$H88:$H90)*H95+SUMPRODUCT(T24:T26,H69:H71,$E88:$E90,$I88:$I90)*H95)/SUM(H60:H64,H69:H71)</f>
        <v>62.289471669137939</v>
      </c>
      <c r="I116" s="61">
        <f>(SUMPRODUCT(I15:I19,I60:I64,$C79:$C83,$H79:$H83)*I95+SUMPRODUCT(U15:U19,I60:I64,$E79:$E83,$I79:$I83)*I95+SUMPRODUCT(I24:I26,I69:I71,$C88:$C90,$H88:$H90)*I95+SUMPRODUCT(U24:U26,I69:I71,$E88:$E90,$I88:$I90)*I95)/SUM(I60:I64,I69:I71)</f>
        <v>59.288588776900447</v>
      </c>
      <c r="J116" s="62"/>
      <c r="K116" s="62"/>
      <c r="L116" s="60"/>
      <c r="M116" s="293"/>
      <c r="Z116" s="257"/>
      <c r="AB116" s="73"/>
      <c r="AC116" s="445"/>
      <c r="AD116" s="257"/>
    </row>
    <row r="117" spans="1:33" x14ac:dyDescent="0.2">
      <c r="A117" s="7"/>
      <c r="B117" s="63" t="s">
        <v>41</v>
      </c>
      <c r="C117" s="60"/>
      <c r="D117" s="60"/>
      <c r="E117" s="61">
        <f>(SUMPRODUCT(E15:E19,E60:E64,$C79:$C83,$H79:$H83)*E95+SUMPRODUCT(E24:E26,E69:E71,$C88:$C90,$H88:$H90)*E95)/(SUMPRODUCT(E15:E19,E60:E64)+SUMPRODUCT(E24:E26,E69:E71))</f>
        <v>69.806600605233839</v>
      </c>
      <c r="F117" s="61">
        <f>(SUMPRODUCT(F15:F19,F60:F64,$C79:$C83,$H79:$H83)*F95+SUMPRODUCT(F24:F26,F69:F71,$C88:$C90,$H88:$H90)*F95)/(SUMPRODUCT(F15:F19,F60:F64)+SUMPRODUCT(F24:F26,F69:F71))</f>
        <v>68.984572349387491</v>
      </c>
      <c r="G117" s="61">
        <f>(SUMPRODUCT(G15:G19,G60:G64,$C79:$C83,$H79:$H83)*G95+SUMPRODUCT(G24:G26,G69:G71,$C88:$C90,$H88:$H90)*G95)/(SUMPRODUCT(G15:G19,G60:G64)+SUMPRODUCT(G24:G26,G69:G71))</f>
        <v>67.781252070730702</v>
      </c>
      <c r="H117" s="61">
        <f>(SUMPRODUCT(H15:H19,H60:H64,$C79:$C83,$H79:$H83)*H95+SUMPRODUCT(H24:H26,H69:H71,$C88:$C90,$H88:$H90)*H95)/(SUMPRODUCT(H15:H19,H60:H64)+SUMPRODUCT(H24:H26,H69:H71))</f>
        <v>67.695234644347778</v>
      </c>
      <c r="I117" s="61">
        <f>(SUMPRODUCT(I15:I19,I60:I64,$C79:$C83,$H79:$H83)*I95+SUMPRODUCT(I24:I26,I69:I71,$C88:$C90,$H88:$H90)*I95)/(SUMPRODUCT(I15:I19,I60:I64)+SUMPRODUCT(I24:I26,I69:I71))</f>
        <v>67.663980150897871</v>
      </c>
      <c r="J117" s="62"/>
      <c r="K117" s="62"/>
      <c r="L117" s="60"/>
      <c r="M117" s="442"/>
      <c r="S117" s="448"/>
    </row>
    <row r="118" spans="1:33" x14ac:dyDescent="0.2">
      <c r="A118" s="7"/>
      <c r="B118" s="63" t="s">
        <v>42</v>
      </c>
      <c r="C118" s="60"/>
      <c r="D118" s="60"/>
      <c r="E118" s="61">
        <f>(SUMPRODUCT(Q15:Q19,E60:E64,$E79:$E83,$I79:$I83)*E95+SUMPRODUCT(Q24:Q26,E69:E71,$E88:$E90,$I88:$I90)*E95)/(SUMPRODUCT(Q15:Q19,E60:E64)+SUMPRODUCT(Q24:Q26,E69:E71))</f>
        <v>57.795340079549888</v>
      </c>
      <c r="F118" s="61">
        <f>(SUMPRODUCT(R15:R19,F60:F64,$E79:$E83,$I79:$I83)*F95+SUMPRODUCT(R24:R26,F69:F71,$E88:$E90,$I88:$I90)*F95)/(SUMPRODUCT(R15:R19,F60:F64)+SUMPRODUCT(R24:R26,F69:F71))</f>
        <v>57.229197123756187</v>
      </c>
      <c r="G118" s="61">
        <f>(SUMPRODUCT(S15:S19,G60:G64,$E79:$E83,$I79:$I83)*G95+SUMPRODUCT(S24:S26,G69:G71,$E88:$E90,$I88:$I90)*G95)/(SUMPRODUCT(S15:S19,G60:G64)+SUMPRODUCT(S24:S26,G69:G71))</f>
        <v>56.33805000166727</v>
      </c>
      <c r="H118" s="61">
        <f>(SUMPRODUCT(T15:T19,H60:H64,$E79:$E83,$I79:$I83)*H95+SUMPRODUCT(T24:T26,H69:H71,$E88:$E90,$I88:$I90)*H95)/(SUMPRODUCT(T15:T19,H60:H64)+SUMPRODUCT(T24:T26,H69:H71))</f>
        <v>56.275953920122014</v>
      </c>
      <c r="I118" s="61">
        <f>(SUMPRODUCT(U15:U19,I60:I64,$E79:$E83,$I79:$I83)*I95+SUMPRODUCT(U24:U26,I69:I71,$E88:$E90,$I88:$I90)*I95)/(SUMPRODUCT(U15:U19,I60:I64)+SUMPRODUCT(U24:U26,I69:I71))</f>
        <v>55.722552080590781</v>
      </c>
      <c r="J118" s="62"/>
      <c r="K118" s="62"/>
      <c r="L118" s="60"/>
      <c r="M118" s="2"/>
      <c r="N118" s="12"/>
      <c r="P118" s="5"/>
      <c r="W118" s="441"/>
      <c r="AC118" s="448"/>
    </row>
    <row r="119" spans="1:33" x14ac:dyDescent="0.2">
      <c r="A119" s="7"/>
      <c r="C119" s="119"/>
      <c r="D119" s="119"/>
      <c r="E119" s="120"/>
      <c r="F119" s="120"/>
      <c r="G119" s="120"/>
      <c r="H119" s="120"/>
      <c r="I119" s="120"/>
      <c r="J119" s="62"/>
      <c r="K119" s="62"/>
      <c r="L119" s="119"/>
      <c r="R119" s="73"/>
      <c r="S119" s="445"/>
      <c r="W119" s="2"/>
      <c r="X119" s="12"/>
      <c r="Z119" s="5"/>
    </row>
    <row r="120" spans="1:33" x14ac:dyDescent="0.2">
      <c r="A120" s="7"/>
      <c r="B120" t="s">
        <v>16</v>
      </c>
      <c r="C120" s="60"/>
      <c r="D120" s="64"/>
      <c r="E120" s="65">
        <f>(E112*SUM(E65:E68)+E116*SUM(E60:E64,E69:E71))/E72</f>
        <v>60.542854397099958</v>
      </c>
      <c r="F120" s="65">
        <f>(F112*SUM(F65:F68)+F116*SUM(F60:F64,F69:F71))/F72</f>
        <v>59.818066913708314</v>
      </c>
      <c r="G120" s="65">
        <f>(G112*SUM(G65:G68)+G116*SUM(G60:G64,G69:G71))/G72</f>
        <v>59.780808323145216</v>
      </c>
      <c r="H120" s="65">
        <f>(H112*SUM(H65:H68)+H116*SUM(H60:H64,H69:H71))/H72</f>
        <v>60.10849839048602</v>
      </c>
      <c r="I120" s="65">
        <f>(I112*SUM(I65:I68)+I116*SUM(I60:I64,I69:I71))/I72</f>
        <v>55.160159582983276</v>
      </c>
      <c r="J120" s="62"/>
      <c r="K120" s="62"/>
      <c r="L120" s="64"/>
      <c r="M120" s="442"/>
      <c r="Z120" s="257"/>
      <c r="AB120" s="73"/>
      <c r="AC120" s="445"/>
      <c r="AD120" s="257"/>
    </row>
    <row r="121" spans="1:33" x14ac:dyDescent="0.2">
      <c r="A121" s="7"/>
      <c r="C121" s="60"/>
      <c r="D121" s="64"/>
      <c r="E121" s="64"/>
      <c r="F121" s="64"/>
      <c r="G121" s="64"/>
      <c r="H121" s="64"/>
      <c r="I121" s="64"/>
      <c r="J121" s="64"/>
      <c r="K121" s="64"/>
      <c r="L121" s="64"/>
      <c r="M121" s="442"/>
      <c r="S121" s="448"/>
    </row>
    <row r="122" spans="1:33" x14ac:dyDescent="0.2">
      <c r="A122" s="7"/>
      <c r="B122" t="s">
        <v>44</v>
      </c>
      <c r="C122" s="60">
        <f>SUMPRODUCT(C120:I120,C72:I72)/SUM(C72:I72)</f>
        <v>59.780090934803248</v>
      </c>
      <c r="D122" s="64"/>
      <c r="E122" s="64"/>
      <c r="F122" s="64"/>
      <c r="G122" s="64"/>
      <c r="H122" s="64"/>
      <c r="I122" s="64"/>
      <c r="J122" s="64"/>
      <c r="K122" s="64"/>
      <c r="L122" s="64"/>
      <c r="M122" s="2"/>
      <c r="N122" s="12"/>
      <c r="P122" s="5"/>
      <c r="W122" s="441"/>
      <c r="AC122" s="448"/>
      <c r="AF122" s="451"/>
      <c r="AG122" s="257"/>
    </row>
    <row r="123" spans="1:33" x14ac:dyDescent="0.2">
      <c r="A123" s="7"/>
      <c r="C123" s="60"/>
      <c r="D123" s="64"/>
      <c r="E123" s="64"/>
      <c r="F123" s="64"/>
      <c r="G123" s="64"/>
      <c r="H123" s="64"/>
      <c r="I123" s="64"/>
      <c r="J123" s="64"/>
      <c r="K123" s="64"/>
      <c r="L123" s="64"/>
      <c r="R123" s="73"/>
      <c r="S123" s="445"/>
      <c r="W123" s="2"/>
      <c r="X123" s="12"/>
      <c r="Z123" s="5"/>
    </row>
    <row r="124" spans="1:33" x14ac:dyDescent="0.2">
      <c r="A124" s="7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442"/>
      <c r="Z124" s="257"/>
      <c r="AB124" s="73"/>
      <c r="AC124" s="445"/>
      <c r="AD124" s="257"/>
      <c r="AF124" s="452"/>
      <c r="AG124" s="257"/>
    </row>
    <row r="125" spans="1:33" x14ac:dyDescent="0.2">
      <c r="A125" s="6" t="s">
        <v>35</v>
      </c>
      <c r="B125" s="1" t="s">
        <v>49</v>
      </c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442"/>
      <c r="S125" s="448"/>
    </row>
    <row r="126" spans="1:33" x14ac:dyDescent="0.2">
      <c r="A126" s="7"/>
      <c r="B126" s="15" t="s">
        <v>172</v>
      </c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2"/>
      <c r="N126" s="12"/>
      <c r="P126" s="5"/>
      <c r="W126" s="441"/>
      <c r="AC126" s="448"/>
      <c r="AF126" s="453"/>
      <c r="AG126" s="257"/>
    </row>
    <row r="127" spans="1:33" x14ac:dyDescent="0.2">
      <c r="A127" s="7"/>
      <c r="B127" s="15" t="s">
        <v>43</v>
      </c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R127" s="73"/>
      <c r="S127" s="445"/>
      <c r="W127" s="2"/>
      <c r="X127" s="12"/>
      <c r="Z127" s="5"/>
    </row>
    <row r="128" spans="1:33" x14ac:dyDescent="0.2">
      <c r="A128" s="7"/>
      <c r="B128" s="1"/>
      <c r="C128" s="2"/>
      <c r="D128" s="2"/>
      <c r="E128" s="2" t="str">
        <f>+E$13</f>
        <v>RT{1}</v>
      </c>
      <c r="F128" s="2" t="str">
        <f>+F$13</f>
        <v>RS{2}</v>
      </c>
      <c r="G128" s="2" t="str">
        <f>+G$13</f>
        <v>GS{3}</v>
      </c>
      <c r="H128" s="2" t="str">
        <f>+H$58</f>
        <v>GST {4}</v>
      </c>
      <c r="I128" s="2" t="str">
        <f>+I$13</f>
        <v>OL/SL</v>
      </c>
      <c r="J128" s="2" t="s">
        <v>13</v>
      </c>
      <c r="K128" s="2"/>
      <c r="L128" s="2"/>
      <c r="M128" s="2"/>
      <c r="Z128" s="257"/>
      <c r="AB128" s="73"/>
      <c r="AC128" s="445"/>
      <c r="AD128" s="257"/>
      <c r="AF128" s="452"/>
    </row>
    <row r="129" spans="1:33" x14ac:dyDescent="0.2">
      <c r="A129" s="7"/>
      <c r="C129" s="3"/>
      <c r="M129" s="442"/>
      <c r="S129" s="448"/>
    </row>
    <row r="130" spans="1:33" x14ac:dyDescent="0.2">
      <c r="A130" s="7"/>
      <c r="B130" s="23" t="s">
        <v>17</v>
      </c>
      <c r="C130" s="62"/>
      <c r="D130" s="62"/>
      <c r="E130" s="62">
        <f>SUM(E65:E68)*E112/1000</f>
        <v>3265.0688858258741</v>
      </c>
      <c r="F130" s="62">
        <f>SUM(F65:F68)*F112/1000</f>
        <v>223347.34648649895</v>
      </c>
      <c r="G130" s="62">
        <f>SUM(G65:G68)*G112/1000</f>
        <v>115800.04960563853</v>
      </c>
      <c r="H130" s="62">
        <f>SUM(H65:H68)*H112/1000</f>
        <v>2996.2215281435147</v>
      </c>
      <c r="I130" s="62">
        <f>SUM(I65:I68)*I112/1000</f>
        <v>1891.5505053005866</v>
      </c>
      <c r="J130" s="62">
        <f>SUM(E130:I130)</f>
        <v>347300.23701140744</v>
      </c>
      <c r="K130" s="62"/>
      <c r="L130" s="62"/>
      <c r="M130" s="2"/>
      <c r="N130" s="12"/>
      <c r="P130" s="5"/>
      <c r="W130" s="441"/>
      <c r="AC130" s="448"/>
    </row>
    <row r="131" spans="1:33" x14ac:dyDescent="0.2">
      <c r="A131" s="7"/>
      <c r="B131" s="63" t="s">
        <v>41</v>
      </c>
      <c r="C131" s="62"/>
      <c r="D131" s="62"/>
      <c r="E131" s="62">
        <f>SUMPRODUCT(E65:E68,E20:E23)*E113/1000</f>
        <v>2110.0872204224038</v>
      </c>
      <c r="F131" s="62">
        <f>SUMPRODUCT(F65:F68,F20:F23)*F113/1000</f>
        <v>147265.6199196222</v>
      </c>
      <c r="G131" s="62">
        <f>SUMPRODUCT(G65:G68,G20:G23)*G113/1000</f>
        <v>78766.945071146343</v>
      </c>
      <c r="H131" s="62">
        <f>SUMPRODUCT(H65:H68,H20:H23)*H113/1000</f>
        <v>2050.9973473108435</v>
      </c>
      <c r="I131" s="62">
        <f>SUMPRODUCT(I65:I68,I20:I23)*I113/1000</f>
        <v>751.16892731789972</v>
      </c>
      <c r="J131" s="62">
        <f>SUM(E131:I131)</f>
        <v>230944.81848581971</v>
      </c>
      <c r="K131" s="62"/>
      <c r="L131" s="62"/>
      <c r="R131" s="73"/>
      <c r="S131" s="445"/>
      <c r="W131" s="2"/>
      <c r="X131" s="12"/>
      <c r="Z131" s="5"/>
    </row>
    <row r="132" spans="1:33" x14ac:dyDescent="0.2">
      <c r="A132" s="7"/>
      <c r="B132" s="63" t="s">
        <v>42</v>
      </c>
      <c r="C132" s="62"/>
      <c r="D132" s="62"/>
      <c r="E132" s="62">
        <f>SUMPRODUCT(E65:E68,Q20:Q23)*E114/1000</f>
        <v>1154.9816654034701</v>
      </c>
      <c r="F132" s="62">
        <f>SUMPRODUCT(F65:F68,R20:R23)*F114/1000</f>
        <v>76081.726566876721</v>
      </c>
      <c r="G132" s="62">
        <f>SUMPRODUCT(G65:G68,S20:S23)*G114/1000</f>
        <v>37033.10453449218</v>
      </c>
      <c r="H132" s="62">
        <f>SUMPRODUCT(H65:H68,T20:T23)*H114/1000</f>
        <v>945.22418083267132</v>
      </c>
      <c r="I132" s="62">
        <f>SUMPRODUCT(I65:I68,U20:U23)*I114/1000</f>
        <v>1140.3815779826868</v>
      </c>
      <c r="J132" s="62">
        <f>SUM(E132:I132)</f>
        <v>116355.41852558772</v>
      </c>
      <c r="K132" s="62"/>
      <c r="L132" s="62"/>
      <c r="M132" s="444"/>
      <c r="Z132" s="257"/>
      <c r="AB132" s="73"/>
      <c r="AC132" s="445"/>
      <c r="AD132" s="257"/>
    </row>
    <row r="133" spans="1:33" x14ac:dyDescent="0.2">
      <c r="A133" s="7"/>
      <c r="C133" s="66"/>
      <c r="D133" s="66"/>
      <c r="E133" s="66"/>
      <c r="F133" s="66"/>
      <c r="G133" s="66"/>
      <c r="H133" s="66"/>
      <c r="I133" s="66"/>
      <c r="J133" s="62"/>
      <c r="K133" s="62"/>
      <c r="L133" s="66"/>
      <c r="M133" s="441"/>
      <c r="S133" s="448"/>
    </row>
    <row r="134" spans="1:33" x14ac:dyDescent="0.2">
      <c r="A134" s="7"/>
      <c r="B134" s="23" t="s">
        <v>18</v>
      </c>
      <c r="C134" s="66"/>
      <c r="D134" s="66"/>
      <c r="E134" s="66">
        <f>SUM(E60:E64,E69:E71)*E116/1000</f>
        <v>7317.2771770976242</v>
      </c>
      <c r="F134" s="66">
        <f>SUM(F60:F64,F69:F71)*F116/1000</f>
        <v>353810.62194216286</v>
      </c>
      <c r="G134" s="66">
        <f>SUM(G60:G64,G69:G71)*G116/1000</f>
        <v>231264.5470305715</v>
      </c>
      <c r="H134" s="66">
        <f>SUM(H60:H64,H69:H71)*H116/1000</f>
        <v>7045.6244299678619</v>
      </c>
      <c r="I134" s="66">
        <f>SUM(I60:I64,I69:I71)*I116/1000</f>
        <v>4779.905315782491</v>
      </c>
      <c r="J134" s="62">
        <f>SUM(E134:I134)</f>
        <v>604217.97589558235</v>
      </c>
      <c r="K134" s="62"/>
      <c r="L134" s="66"/>
      <c r="M134" s="2"/>
      <c r="N134" s="12"/>
      <c r="P134" s="5"/>
      <c r="W134" s="441"/>
      <c r="AC134" s="448"/>
      <c r="AF134" s="453"/>
      <c r="AG134" s="257"/>
    </row>
    <row r="135" spans="1:33" x14ac:dyDescent="0.2">
      <c r="A135" s="7"/>
      <c r="B135" s="63" t="s">
        <v>41</v>
      </c>
      <c r="C135" s="62"/>
      <c r="D135" s="62"/>
      <c r="E135" s="62">
        <f>(SUMPRODUCT(E60:E64,E15:E19)+SUMPRODUCT(E69:E71,E24:E26))*E117/1000</f>
        <v>3823.7025297595019</v>
      </c>
      <c r="F135" s="62">
        <f>(SUMPRODUCT(F60:F64,F15:F19)+SUMPRODUCT(F69:F71,F24:F26))*F117/1000</f>
        <v>191259.40439098873</v>
      </c>
      <c r="G135" s="62">
        <f>(SUMPRODUCT(G60:G64,G15:G19)+SUMPRODUCT(G69:G71,G24:G26))*G117/1000</f>
        <v>130443.99119907418</v>
      </c>
      <c r="H135" s="62">
        <f>(SUMPRODUCT(H60:H64,H15:H19)+SUMPRODUCT(H69:H71,H24:H26))*H117/1000</f>
        <v>4032.2995514746126</v>
      </c>
      <c r="I135" s="62">
        <f>(SUMPRODUCT(I60:I64,I15:I19)+SUMPRODUCT(I69:I71,I24:I26))*I117/1000</f>
        <v>1629.0531804978939</v>
      </c>
      <c r="J135" s="62">
        <f>SUM(E135:I135)</f>
        <v>331188.45085179491</v>
      </c>
      <c r="K135" s="62"/>
      <c r="L135" s="62"/>
      <c r="P135" s="257"/>
      <c r="R135" s="73"/>
      <c r="S135" s="445"/>
      <c r="W135" s="2"/>
      <c r="X135" s="12"/>
      <c r="Z135" s="5"/>
    </row>
    <row r="136" spans="1:33" x14ac:dyDescent="0.2">
      <c r="A136" s="7"/>
      <c r="B136" s="63" t="s">
        <v>42</v>
      </c>
      <c r="C136" s="62"/>
      <c r="D136" s="62"/>
      <c r="E136" s="62">
        <f>+(SUMPRODUCT(E60:E64,Q15:Q19)+SUMPRODUCT(E69:E71,Q24:Q26))*E118/1000</f>
        <v>3493.5746473381218</v>
      </c>
      <c r="F136" s="62">
        <f>+(SUMPRODUCT(F60:F64,R15:R19)+SUMPRODUCT(F69:F71,R24:R26))*F118/1000</f>
        <v>162551.21755117411</v>
      </c>
      <c r="G136" s="62">
        <f>+(SUMPRODUCT(G60:G64,S15:S19)+SUMPRODUCT(G69:G71,S24:S26))*G118/1000</f>
        <v>100820.55583149732</v>
      </c>
      <c r="H136" s="62">
        <f>+(SUMPRODUCT(H60:H64,T15:T19)+SUMPRODUCT(H69:H71,T24:T26))*H118/1000</f>
        <v>3013.324878493248</v>
      </c>
      <c r="I136" s="62">
        <f>+(SUMPRODUCT(I60:I64,U15:U19)+SUMPRODUCT(I69:I71,U24:U26))*I118/1000</f>
        <v>3150.8521352845978</v>
      </c>
      <c r="J136" s="62">
        <f>SUM(E136:I136)</f>
        <v>273029.52504378738</v>
      </c>
      <c r="K136" s="62"/>
      <c r="L136" s="62"/>
      <c r="M136" s="444"/>
      <c r="Z136" s="257"/>
      <c r="AB136" s="73"/>
      <c r="AC136" s="445"/>
      <c r="AD136" s="257"/>
      <c r="AF136" s="452"/>
      <c r="AG136" s="257"/>
    </row>
    <row r="137" spans="1:33" x14ac:dyDescent="0.2">
      <c r="A137" s="7"/>
      <c r="C137" s="119"/>
      <c r="D137" s="119"/>
      <c r="E137" s="119"/>
      <c r="F137" s="119"/>
      <c r="G137" s="119"/>
      <c r="H137" s="119"/>
      <c r="I137" s="119"/>
      <c r="J137" s="62"/>
      <c r="K137" s="62"/>
      <c r="L137" s="119"/>
      <c r="M137" s="441"/>
      <c r="S137" s="448"/>
    </row>
    <row r="138" spans="1:33" x14ac:dyDescent="0.2">
      <c r="A138" s="7"/>
      <c r="B138" t="s">
        <v>16</v>
      </c>
      <c r="C138" s="66"/>
      <c r="D138" s="66"/>
      <c r="E138" s="66">
        <f>+E130+E134</f>
        <v>10582.346062923498</v>
      </c>
      <c r="F138" s="66">
        <f>+F130+F134</f>
        <v>577157.96842866181</v>
      </c>
      <c r="G138" s="66">
        <f>+G130+G134</f>
        <v>347064.59663621004</v>
      </c>
      <c r="H138" s="66">
        <f>+H130+H134</f>
        <v>10041.845958111377</v>
      </c>
      <c r="I138" s="66">
        <f>+I130+I134</f>
        <v>6671.4558210830774</v>
      </c>
      <c r="J138" s="62">
        <f>SUM(E138:I138)</f>
        <v>951518.21290698985</v>
      </c>
      <c r="K138" s="62"/>
      <c r="L138" s="66"/>
      <c r="M138" s="2"/>
      <c r="N138" s="12"/>
      <c r="P138" s="5"/>
      <c r="W138" s="441"/>
      <c r="AC138" s="448"/>
    </row>
    <row r="139" spans="1:33" x14ac:dyDescent="0.2">
      <c r="A139" s="7"/>
      <c r="P139" s="257"/>
      <c r="R139" s="73"/>
      <c r="S139" s="445"/>
      <c r="W139" s="2"/>
      <c r="X139" s="12"/>
      <c r="Z139" s="5"/>
    </row>
    <row r="140" spans="1:33" x14ac:dyDescent="0.2">
      <c r="A140" s="7"/>
      <c r="B140" t="s">
        <v>44</v>
      </c>
      <c r="C140" s="62">
        <f>SUM(C138:I138)</f>
        <v>951518.21290698985</v>
      </c>
      <c r="E140" s="67"/>
      <c r="F140" s="60"/>
      <c r="Z140" s="257"/>
      <c r="AB140" s="73"/>
      <c r="AC140" s="445"/>
      <c r="AD140" s="257"/>
    </row>
    <row r="141" spans="1:33" x14ac:dyDescent="0.2">
      <c r="A141" s="7"/>
      <c r="M141" s="441"/>
      <c r="S141" s="448"/>
    </row>
    <row r="142" spans="1:33" x14ac:dyDescent="0.2">
      <c r="A142" s="7"/>
      <c r="M142" s="2"/>
      <c r="N142" s="12"/>
      <c r="P142" s="5"/>
      <c r="W142" s="441"/>
      <c r="AC142" s="448"/>
    </row>
    <row r="143" spans="1:33" ht="15.75" x14ac:dyDescent="0.25">
      <c r="A143" s="7"/>
      <c r="B143" s="504" t="str">
        <f>$B$1</f>
        <v xml:space="preserve">Jersey Central Power &amp; Light </v>
      </c>
      <c r="C143" s="504"/>
      <c r="D143" s="504"/>
      <c r="E143" s="504"/>
      <c r="F143" s="504"/>
      <c r="G143" s="504"/>
      <c r="H143" s="504"/>
      <c r="I143" s="504"/>
      <c r="J143" s="504"/>
      <c r="K143" s="504"/>
      <c r="L143" s="504"/>
      <c r="P143" s="257"/>
      <c r="R143" s="73"/>
      <c r="S143" s="445"/>
      <c r="T143" s="257"/>
      <c r="W143" s="2"/>
      <c r="X143" s="12"/>
      <c r="Z143" s="5"/>
    </row>
    <row r="144" spans="1:33" ht="15.75" x14ac:dyDescent="0.25">
      <c r="A144" s="7"/>
      <c r="B144" s="504" t="str">
        <f>$B$2</f>
        <v>Attachment 2</v>
      </c>
      <c r="C144" s="504"/>
      <c r="D144" s="504"/>
      <c r="E144" s="504"/>
      <c r="F144" s="504"/>
      <c r="G144" s="504"/>
      <c r="H144" s="504"/>
      <c r="I144" s="504"/>
      <c r="J144" s="504"/>
      <c r="K144" s="504"/>
      <c r="L144" s="504"/>
      <c r="Z144" s="257"/>
      <c r="AB144" s="73"/>
      <c r="AC144" s="445"/>
      <c r="AD144" s="257"/>
    </row>
    <row r="145" spans="1:51" x14ac:dyDescent="0.2">
      <c r="A145" s="6" t="s">
        <v>70</v>
      </c>
      <c r="B145" s="1" t="s">
        <v>71</v>
      </c>
      <c r="C145" s="64"/>
      <c r="Q145" t="s">
        <v>126</v>
      </c>
      <c r="T145" t="s">
        <v>122</v>
      </c>
      <c r="W145" t="s">
        <v>123</v>
      </c>
      <c r="Z145" t="s">
        <v>124</v>
      </c>
    </row>
    <row r="146" spans="1:51" x14ac:dyDescent="0.2">
      <c r="A146" s="7"/>
      <c r="B146" s="15" t="s">
        <v>173</v>
      </c>
      <c r="C146" s="64"/>
      <c r="W146" t="s">
        <v>127</v>
      </c>
      <c r="Z146" t="s">
        <v>128</v>
      </c>
      <c r="AC146" t="s">
        <v>125</v>
      </c>
    </row>
    <row r="147" spans="1:51" x14ac:dyDescent="0.2">
      <c r="A147" s="7"/>
      <c r="B147" s="15" t="s">
        <v>21</v>
      </c>
      <c r="C147" s="64"/>
    </row>
    <row r="148" spans="1:51" x14ac:dyDescent="0.2">
      <c r="A148" s="7"/>
      <c r="B148" s="1"/>
      <c r="C148" s="2"/>
      <c r="D148" s="2"/>
      <c r="E148" s="2" t="str">
        <f>+E$13</f>
        <v>RT{1}</v>
      </c>
      <c r="F148" s="2" t="str">
        <f>+F$13</f>
        <v>RS{2}</v>
      </c>
      <c r="G148" s="2" t="str">
        <f>+G$13</f>
        <v>GS{3}</v>
      </c>
      <c r="H148" s="2" t="str">
        <f>+H$58</f>
        <v>GST {4}</v>
      </c>
      <c r="I148" s="2" t="str">
        <f>+I$13</f>
        <v>OL/SL</v>
      </c>
      <c r="J148" s="2"/>
      <c r="K148" s="2"/>
      <c r="L148" s="2"/>
      <c r="M148" s="2"/>
      <c r="Q148" s="2" t="str">
        <f>+$H148</f>
        <v>GST {4}</v>
      </c>
      <c r="R148" s="2"/>
      <c r="S148" s="2"/>
      <c r="T148" s="2" t="str">
        <f>+$H148</f>
        <v>GST {4}</v>
      </c>
      <c r="U148" s="2"/>
      <c r="V148" s="2"/>
      <c r="W148" s="2" t="str">
        <f>+$H148</f>
        <v>GST {4}</v>
      </c>
      <c r="X148" s="2"/>
      <c r="Z148" s="2" t="str">
        <f>+$H148</f>
        <v>GST {4}</v>
      </c>
      <c r="AA148" s="2"/>
      <c r="AC148" s="2" t="str">
        <f>+$H148</f>
        <v>GST {4}</v>
      </c>
      <c r="AD148" s="2"/>
      <c r="AU148" s="2"/>
      <c r="AV148" s="2"/>
      <c r="AW148" s="2"/>
      <c r="AX148" s="2"/>
      <c r="AY148" s="2"/>
    </row>
    <row r="149" spans="1:51" x14ac:dyDescent="0.2">
      <c r="A149" s="7"/>
      <c r="B149" s="23" t="s">
        <v>17</v>
      </c>
      <c r="C149" s="60"/>
      <c r="D149" s="60"/>
      <c r="E149" s="61">
        <f>+E130/SUM(E65:E68)*1000</f>
        <v>54.812464508223783</v>
      </c>
      <c r="F149" s="61">
        <f>+F130/SUM(F65:F68)*1000</f>
        <v>55.34281894828289</v>
      </c>
      <c r="G149" s="61">
        <f>+G130/SUM(G65:G68)*1000</f>
        <v>55.365132223945899</v>
      </c>
      <c r="H149" s="61">
        <f>+H130/SUM(H65:H68)*1000</f>
        <v>55.535977611972243</v>
      </c>
      <c r="I149" s="61">
        <f>+I130/SUM(I65:I68)*1000</f>
        <v>46.906474862386212</v>
      </c>
      <c r="J149" s="60"/>
      <c r="K149" s="60"/>
      <c r="L149" s="60"/>
      <c r="M149" s="60"/>
      <c r="P149" s="10" t="s">
        <v>25</v>
      </c>
      <c r="AU149" s="4"/>
      <c r="AV149" s="4"/>
      <c r="AW149" s="4"/>
      <c r="AX149" s="4"/>
      <c r="AY149" s="4"/>
    </row>
    <row r="150" spans="1:51" x14ac:dyDescent="0.2">
      <c r="A150" s="7"/>
      <c r="B150" s="63" t="s">
        <v>72</v>
      </c>
      <c r="C150" s="62"/>
      <c r="D150" s="62"/>
      <c r="E150" s="61">
        <f>+(E131*1000-X161*AVERAGE(E$113,E$114))/R161</f>
        <v>72.859862596095866</v>
      </c>
      <c r="F150" s="61"/>
      <c r="G150" s="61"/>
      <c r="H150" s="61">
        <f>+(H131*1000-W150*AVERAGE(H$113,H$114))/Q150</f>
        <v>71.612642859360278</v>
      </c>
      <c r="I150" s="61"/>
      <c r="J150" s="62"/>
      <c r="K150" s="62"/>
      <c r="L150" s="62"/>
      <c r="M150" s="60"/>
      <c r="P150" t="s">
        <v>14</v>
      </c>
      <c r="Q150" s="4">
        <f>T65</f>
        <v>24495.801499999998</v>
      </c>
      <c r="R150" s="4"/>
      <c r="T150" s="4">
        <f>T76</f>
        <v>30000.484699999997</v>
      </c>
      <c r="U150" s="4"/>
      <c r="W150" s="4">
        <f>+T150-Q150</f>
        <v>5504.6831999999995</v>
      </c>
      <c r="X150" s="4"/>
      <c r="Z150" s="121">
        <f>+H150*Q150/1000</f>
        <v>1754.2090843732815</v>
      </c>
      <c r="AA150" s="121"/>
      <c r="AX150" s="4"/>
    </row>
    <row r="151" spans="1:51" ht="15" x14ac:dyDescent="0.35">
      <c r="A151" s="7"/>
      <c r="B151" s="63" t="s">
        <v>73</v>
      </c>
      <c r="C151" s="62"/>
      <c r="D151" s="62"/>
      <c r="E151" s="61">
        <f>+(E132*1000-X162*AVERAGE(E$113,E$114))/R162</f>
        <v>42.384973848350327</v>
      </c>
      <c r="F151" s="61"/>
      <c r="G151" s="61"/>
      <c r="H151" s="61">
        <f>+(H132*1000-W151*AVERAGE(H$113,H$114))/Q151</f>
        <v>42.166154262047598</v>
      </c>
      <c r="I151" s="61"/>
      <c r="J151" s="62"/>
      <c r="K151" s="62"/>
      <c r="L151" s="62"/>
      <c r="M151" s="60"/>
      <c r="P151" t="s">
        <v>15</v>
      </c>
      <c r="Q151" s="4">
        <f>T66</f>
        <v>29455.198500000002</v>
      </c>
      <c r="R151" s="4"/>
      <c r="T151" s="4">
        <f>T77</f>
        <v>23950.515300000003</v>
      </c>
      <c r="U151" s="4"/>
      <c r="W151" s="4">
        <f>+T151-Q151</f>
        <v>-5504.6831999999995</v>
      </c>
      <c r="X151" s="4"/>
      <c r="Z151" s="69">
        <f>+H151*Q151/1000</f>
        <v>1242.0124437702332</v>
      </c>
      <c r="AA151" s="69"/>
      <c r="AX151" s="4"/>
    </row>
    <row r="152" spans="1:51" x14ac:dyDescent="0.2">
      <c r="A152" s="7"/>
      <c r="C152" s="66"/>
      <c r="D152" s="66"/>
      <c r="E152" s="65"/>
      <c r="F152" s="65"/>
      <c r="G152" s="65"/>
      <c r="H152" s="65"/>
      <c r="I152" s="65"/>
      <c r="J152" s="66"/>
      <c r="K152" s="66"/>
      <c r="L152" s="66"/>
      <c r="M152" s="66"/>
      <c r="Q152" s="4"/>
      <c r="R152" s="4"/>
      <c r="T152" s="4"/>
      <c r="U152" s="4"/>
      <c r="W152" s="4"/>
      <c r="X152" s="4"/>
      <c r="Z152" s="121">
        <f>+Z151+Z150</f>
        <v>2996.2215281435147</v>
      </c>
      <c r="AA152" s="121"/>
      <c r="AC152" s="3">
        <f>+H130</f>
        <v>2996.2215281435147</v>
      </c>
      <c r="AD152" s="3"/>
    </row>
    <row r="153" spans="1:51" x14ac:dyDescent="0.2">
      <c r="A153" s="7"/>
      <c r="B153" s="23" t="s">
        <v>18</v>
      </c>
      <c r="C153" s="64"/>
      <c r="D153" s="64"/>
      <c r="E153" s="65">
        <f>+E134/SUM(E60:E64,E69:E71)*1000</f>
        <v>63.505352031257857</v>
      </c>
      <c r="F153" s="65">
        <f>+F134/SUM(F60:F64,F69:F71)*1000</f>
        <v>63.035823501815095</v>
      </c>
      <c r="G153" s="65">
        <f>+G134/SUM(G60:G64,G69:G71)*1000</f>
        <v>62.267500248535093</v>
      </c>
      <c r="H153" s="65">
        <f>+H134/SUM(H60:H64,H69:H71)*1000</f>
        <v>62.289471669137946</v>
      </c>
      <c r="I153" s="65">
        <f>+I134/SUM(I60:I64,I69:I71)*1000</f>
        <v>59.288588776900447</v>
      </c>
      <c r="J153" s="64"/>
      <c r="K153" s="64"/>
      <c r="L153" s="64"/>
      <c r="M153" s="64"/>
      <c r="P153" s="10" t="s">
        <v>26</v>
      </c>
      <c r="Q153" s="4"/>
      <c r="R153" s="4"/>
      <c r="T153" s="4"/>
      <c r="U153" s="4"/>
      <c r="W153" s="4"/>
      <c r="X153" s="4"/>
      <c r="Z153" s="121"/>
      <c r="AA153" s="121"/>
      <c r="AC153" s="3"/>
      <c r="AU153" s="4"/>
      <c r="AV153" s="4"/>
      <c r="AW153" s="4"/>
      <c r="AX153" s="4"/>
      <c r="AY153" s="4"/>
    </row>
    <row r="154" spans="1:51" x14ac:dyDescent="0.2">
      <c r="A154" s="7"/>
      <c r="B154" s="63" t="s">
        <v>72</v>
      </c>
      <c r="C154" s="62"/>
      <c r="D154" s="62"/>
      <c r="E154" s="61">
        <f>+(E135*1000-X166*AVERAGE(E$113,E$114))/R166</f>
        <v>75.29130159371438</v>
      </c>
      <c r="F154" s="61"/>
      <c r="G154" s="61"/>
      <c r="H154" s="61">
        <f>+(H135*1000-W154*AVERAGE(H$117,H$118))/Q154</f>
        <v>68.965146990764708</v>
      </c>
      <c r="I154" s="61"/>
      <c r="J154" s="62"/>
      <c r="K154" s="62"/>
      <c r="L154" s="62"/>
      <c r="M154" s="60"/>
      <c r="P154" t="s">
        <v>14</v>
      </c>
      <c r="Q154" s="4">
        <f>T61</f>
        <v>48727.693200000002</v>
      </c>
      <c r="R154" s="4"/>
      <c r="T154" s="4">
        <f>T72</f>
        <v>59565.486000000004</v>
      </c>
      <c r="U154" s="4"/>
      <c r="W154" s="4">
        <f>+T154-Q154</f>
        <v>10837.792800000003</v>
      </c>
      <c r="X154" s="4"/>
      <c r="Z154" s="121">
        <f>+H154*Q154/1000</f>
        <v>3360.5125240588859</v>
      </c>
      <c r="AA154" s="121"/>
      <c r="AC154" s="3"/>
      <c r="AX154" s="4"/>
    </row>
    <row r="155" spans="1:51" ht="15" x14ac:dyDescent="0.35">
      <c r="A155" s="7"/>
      <c r="B155" s="63" t="s">
        <v>73</v>
      </c>
      <c r="C155" s="62"/>
      <c r="D155" s="62"/>
      <c r="E155" s="61">
        <f>+(E136*1000-X167*AVERAGE(E$113,E$114))/R167</f>
        <v>57.15903569827735</v>
      </c>
      <c r="F155" s="61"/>
      <c r="G155" s="61"/>
      <c r="H155" s="61">
        <f>+(H136*1000-W155*AVERAGE(H$117,H$118))/Q155</f>
        <v>57.23707105253834</v>
      </c>
      <c r="I155" s="61"/>
      <c r="J155" s="62"/>
      <c r="K155" s="62"/>
      <c r="L155" s="62"/>
      <c r="M155" s="60"/>
      <c r="P155" t="s">
        <v>15</v>
      </c>
      <c r="Q155" s="4">
        <f>T62</f>
        <v>64383.306799999998</v>
      </c>
      <c r="R155" s="4"/>
      <c r="T155" s="4">
        <f>T73</f>
        <v>53545.513999999996</v>
      </c>
      <c r="U155" s="4"/>
      <c r="W155" s="4">
        <f>+T155-Q155</f>
        <v>-10837.792800000003</v>
      </c>
      <c r="X155" s="4"/>
      <c r="Z155" s="69">
        <f>+H155*Q155/1000</f>
        <v>3685.1119059089747</v>
      </c>
      <c r="AA155" s="69"/>
      <c r="AC155" s="3"/>
      <c r="AX155" s="4"/>
    </row>
    <row r="156" spans="1:51" x14ac:dyDescent="0.2">
      <c r="A156" s="7"/>
      <c r="C156" s="119"/>
      <c r="D156" s="119"/>
      <c r="E156" s="120"/>
      <c r="F156" s="120"/>
      <c r="G156" s="120"/>
      <c r="H156" s="120"/>
      <c r="I156" s="120"/>
      <c r="J156" s="119"/>
      <c r="K156" s="119"/>
      <c r="L156" s="119"/>
      <c r="M156" s="119"/>
      <c r="Z156" s="121">
        <f>+Z155+Z154</f>
        <v>7045.6244299678601</v>
      </c>
      <c r="AA156" s="121"/>
      <c r="AC156" s="3">
        <f>+H134</f>
        <v>7045.6244299678619</v>
      </c>
      <c r="AD156" s="3"/>
    </row>
    <row r="157" spans="1:51" x14ac:dyDescent="0.2">
      <c r="A157" s="7"/>
      <c r="B157" t="s">
        <v>74</v>
      </c>
      <c r="C157" s="60"/>
      <c r="D157" s="60"/>
      <c r="E157" s="61">
        <f>(E149*SUM(E65:E68)+E153*SUM(E60:E64,E69:E71))/E72</f>
        <v>60.542854397099958</v>
      </c>
      <c r="F157" s="61">
        <f>(F149*SUM(F65:F68)+F153*SUM(F60:F64,F69:F71))/F72</f>
        <v>59.818066913708314</v>
      </c>
      <c r="G157" s="61">
        <f>(G149*SUM(G65:G68)+G153*SUM(G60:G64,G69:G71))/G72</f>
        <v>59.780808323145216</v>
      </c>
      <c r="H157" s="61">
        <f>(H149*SUM(H65:H68)+H153*SUM(H60:H64,H69:H71))/H72</f>
        <v>60.108498390486034</v>
      </c>
      <c r="I157" s="61">
        <f>(I149*SUM(I65:I68)+I153*SUM(I60:I64,I69:I71))/I72</f>
        <v>55.160159582983269</v>
      </c>
      <c r="J157" s="60"/>
      <c r="K157" s="60"/>
      <c r="L157" s="60"/>
      <c r="M157" s="60"/>
      <c r="AU157" s="4"/>
      <c r="AV157" s="4"/>
      <c r="AW157" s="4"/>
      <c r="AX157" s="4"/>
      <c r="AY157" s="4"/>
    </row>
    <row r="158" spans="1:51" x14ac:dyDescent="0.2">
      <c r="A158" s="7"/>
      <c r="B158" t="s">
        <v>75</v>
      </c>
      <c r="C158" s="60">
        <f>+C140/SUM(C72:I72)*1000</f>
        <v>59.780090934803241</v>
      </c>
      <c r="E158" s="185"/>
      <c r="F158" s="185"/>
      <c r="G158" s="185"/>
      <c r="H158" s="185"/>
      <c r="I158" s="185"/>
    </row>
    <row r="159" spans="1:51" x14ac:dyDescent="0.2">
      <c r="A159" s="7"/>
      <c r="Q159" s="2" t="str">
        <f>+$E148</f>
        <v>RT{1}</v>
      </c>
      <c r="R159" s="2"/>
      <c r="S159" s="2"/>
      <c r="T159" s="2" t="str">
        <f>+$E148</f>
        <v>RT{1}</v>
      </c>
      <c r="U159" s="2"/>
      <c r="V159" s="2"/>
      <c r="W159" s="2" t="str">
        <f>+$E148</f>
        <v>RT{1}</v>
      </c>
      <c r="X159" s="2"/>
      <c r="Z159" s="2" t="str">
        <f>+$E148</f>
        <v>RT{1}</v>
      </c>
      <c r="AA159" s="2"/>
      <c r="AC159" s="2" t="str">
        <f>+$E148</f>
        <v>RT{1}</v>
      </c>
    </row>
    <row r="160" spans="1:51" x14ac:dyDescent="0.2">
      <c r="A160" s="6" t="s">
        <v>76</v>
      </c>
      <c r="B160" s="1" t="s">
        <v>139</v>
      </c>
      <c r="P160" s="10" t="s">
        <v>25</v>
      </c>
      <c r="Q160" s="8" t="s">
        <v>196</v>
      </c>
      <c r="R160" s="8" t="s">
        <v>192</v>
      </c>
      <c r="T160" s="8" t="s">
        <v>196</v>
      </c>
      <c r="U160" s="8" t="s">
        <v>192</v>
      </c>
      <c r="W160" s="8" t="s">
        <v>196</v>
      </c>
      <c r="X160" s="8" t="s">
        <v>192</v>
      </c>
      <c r="Z160" s="8" t="s">
        <v>197</v>
      </c>
      <c r="AC160" s="8" t="s">
        <v>197</v>
      </c>
    </row>
    <row r="161" spans="1:51" x14ac:dyDescent="0.2">
      <c r="A161" s="7"/>
      <c r="B161" s="15" t="s">
        <v>376</v>
      </c>
      <c r="J161" s="2" t="s">
        <v>299</v>
      </c>
      <c r="K161" s="2"/>
      <c r="P161" t="s">
        <v>14</v>
      </c>
      <c r="Q161" s="4">
        <f>SUMPRODUCT(E38:E41,M65:M68)</f>
        <v>23323.231899999999</v>
      </c>
      <c r="R161" s="4">
        <f>SUMPRODUCT(E38:E41,E65:E68)</f>
        <v>24291.489399999999</v>
      </c>
      <c r="T161" s="4">
        <f>Q76</f>
        <v>30539.264900000002</v>
      </c>
      <c r="U161" s="4">
        <f>T161-($Q$163*$Q161/($Q$161+$Q$162))</f>
        <v>29572.444211930546</v>
      </c>
      <c r="W161" s="4">
        <f>+T161-Q161</f>
        <v>7216.0330000000031</v>
      </c>
      <c r="X161" s="4">
        <f>-Q161+U161</f>
        <v>6249.212311930547</v>
      </c>
      <c r="Z161" s="121">
        <f>+E150*Q161/1000</f>
        <v>1699.3274715308798</v>
      </c>
      <c r="AA161" s="121"/>
      <c r="AU161" s="66"/>
      <c r="AV161" s="66"/>
      <c r="AW161" s="66"/>
      <c r="AX161" s="66"/>
      <c r="AY161" s="66"/>
    </row>
    <row r="162" spans="1:51" ht="32.1" customHeight="1" x14ac:dyDescent="0.35">
      <c r="A162" s="7"/>
      <c r="B162" s="15" t="s">
        <v>77</v>
      </c>
      <c r="C162" s="436" t="s">
        <v>385</v>
      </c>
      <c r="D162" s="436" t="s">
        <v>372</v>
      </c>
      <c r="E162" s="2" t="str">
        <f>+E$13</f>
        <v>RT{1}</v>
      </c>
      <c r="F162" s="2" t="str">
        <f>+F$13</f>
        <v>RS{2}</v>
      </c>
      <c r="G162" s="2" t="str">
        <f>+G$13</f>
        <v>GS{3}</v>
      </c>
      <c r="H162" s="2" t="str">
        <f>+H$58</f>
        <v>GST {4}</v>
      </c>
      <c r="I162" s="2" t="str">
        <f>+I$13</f>
        <v>OL/SL</v>
      </c>
      <c r="J162" s="2" t="s">
        <v>165</v>
      </c>
      <c r="K162" s="2"/>
      <c r="L162" s="2"/>
      <c r="M162" s="2"/>
      <c r="P162" t="s">
        <v>15</v>
      </c>
      <c r="Q162" s="4">
        <f>SUMPRODUCT(Q38:Q41,M65:M68)</f>
        <v>33873.768100000001</v>
      </c>
      <c r="R162" s="169">
        <f>SUMPRODUCT(Q38:Q41,E65:E68)</f>
        <v>35276.510600000001</v>
      </c>
      <c r="T162" s="4">
        <f>Q77</f>
        <v>29028.735099999998</v>
      </c>
      <c r="U162" s="4">
        <f>T162-($Q$163*$Q162/($Q$161+$Q$162))</f>
        <v>27624.561788069452</v>
      </c>
      <c r="W162" s="4">
        <f>+T162-Q162</f>
        <v>-4845.0330000000031</v>
      </c>
      <c r="X162" s="4">
        <f>-Q162+U162</f>
        <v>-6249.2063119305494</v>
      </c>
      <c r="Z162" s="121">
        <f>+E151*Q162/1000</f>
        <v>1435.7387750635837</v>
      </c>
      <c r="AA162" s="69"/>
      <c r="AU162" s="66"/>
      <c r="AV162" s="66"/>
      <c r="AW162" s="66"/>
      <c r="AX162" s="66"/>
      <c r="AY162" s="66"/>
    </row>
    <row r="163" spans="1:51" ht="15" x14ac:dyDescent="0.35">
      <c r="A163" s="7"/>
      <c r="B163" t="s">
        <v>371</v>
      </c>
      <c r="C163" s="437">
        <v>0.92910000000000004</v>
      </c>
      <c r="D163" s="438">
        <v>0.99108749411380648</v>
      </c>
      <c r="E163" s="440">
        <v>46.276309300000001</v>
      </c>
      <c r="F163" s="440">
        <v>3691.5298399600006</v>
      </c>
      <c r="G163" s="440">
        <v>1225.2090439199999</v>
      </c>
      <c r="H163" s="440">
        <v>26.3021633</v>
      </c>
      <c r="I163" s="440">
        <v>3.2020730000000004E-2</v>
      </c>
      <c r="J163" s="435">
        <f>SUM(E163:I163)</f>
        <v>4989.3493772100001</v>
      </c>
      <c r="P163" t="s">
        <v>191</v>
      </c>
      <c r="Q163" s="169">
        <f>SUM(W65:W68)/1000</f>
        <v>2370.9940000000001</v>
      </c>
      <c r="R163" s="4">
        <f>SUM(R161:R162)</f>
        <v>59568</v>
      </c>
      <c r="T163" s="4">
        <v>0</v>
      </c>
      <c r="U163" s="4">
        <v>0</v>
      </c>
      <c r="W163" s="4">
        <f>+T163-Q163</f>
        <v>-2370.9940000000001</v>
      </c>
      <c r="X163" s="4"/>
      <c r="Z163" s="69">
        <f>+E149*Q163/1000</f>
        <v>129.96002447421154</v>
      </c>
      <c r="AU163" s="66"/>
      <c r="AV163" s="66"/>
      <c r="AW163" s="66"/>
      <c r="AX163" s="66"/>
      <c r="AY163" s="66"/>
    </row>
    <row r="164" spans="1:51" x14ac:dyDescent="0.2">
      <c r="A164" s="7"/>
      <c r="B164" t="s">
        <v>78</v>
      </c>
      <c r="C164" s="71"/>
      <c r="D164" s="71"/>
      <c r="E164" s="71">
        <f>E163*$C163*$D163</f>
        <v>42.612122937225493</v>
      </c>
      <c r="F164" s="71">
        <f>F163*$C163*$D163</f>
        <v>3399.2322582823581</v>
      </c>
      <c r="G164" s="71">
        <f>G163*$C163*$D163</f>
        <v>1128.1962454019545</v>
      </c>
      <c r="H164" s="71">
        <f>H163*$C163*$D163</f>
        <v>24.219541986131997</v>
      </c>
      <c r="I164" s="71">
        <f>I163*$C163*$D163</f>
        <v>2.9485309090967301E-2</v>
      </c>
      <c r="J164" s="71">
        <f>SUM(E164:I164)</f>
        <v>4594.2896539167605</v>
      </c>
      <c r="K164" s="71"/>
      <c r="L164" s="71"/>
      <c r="M164" s="71"/>
      <c r="Q164" s="4">
        <f>SUM(Q161:Q163)</f>
        <v>59567.993999999999</v>
      </c>
      <c r="Z164" s="121">
        <f>SUM(Z161:Z163)</f>
        <v>3265.0262710686748</v>
      </c>
      <c r="AA164" s="121"/>
      <c r="AC164" s="3">
        <f>+E130</f>
        <v>3265.0688858258741</v>
      </c>
      <c r="AU164" s="66"/>
      <c r="AV164" s="66"/>
      <c r="AW164" s="66"/>
      <c r="AX164" s="66"/>
      <c r="AY164" s="66"/>
    </row>
    <row r="165" spans="1:51" x14ac:dyDescent="0.2">
      <c r="A165" s="7"/>
      <c r="B165" s="257"/>
      <c r="E165" s="359"/>
      <c r="F165" s="359"/>
      <c r="G165" s="359"/>
      <c r="H165" s="359"/>
      <c r="I165" s="295"/>
      <c r="J165" s="295"/>
      <c r="P165" s="10" t="s">
        <v>26</v>
      </c>
      <c r="Q165" s="4"/>
      <c r="R165" s="4"/>
      <c r="T165" s="4"/>
      <c r="U165" s="4"/>
      <c r="W165" s="4"/>
      <c r="X165" s="4"/>
      <c r="AU165" s="66"/>
      <c r="AV165" s="66"/>
      <c r="AW165" s="66"/>
      <c r="AX165" s="66"/>
      <c r="AY165" s="66"/>
    </row>
    <row r="166" spans="1:51" x14ac:dyDescent="0.2">
      <c r="A166" s="7"/>
      <c r="B166" t="s">
        <v>79</v>
      </c>
      <c r="C166" s="72" t="s">
        <v>80</v>
      </c>
      <c r="D166" s="70"/>
      <c r="E166" s="56"/>
      <c r="F166" s="56"/>
      <c r="G166" s="56"/>
      <c r="H166" s="56"/>
      <c r="I166" s="70"/>
      <c r="J166" s="70"/>
      <c r="K166" s="70"/>
      <c r="L166" s="70"/>
      <c r="M166" s="70"/>
      <c r="P166" t="s">
        <v>14</v>
      </c>
      <c r="Q166" s="4">
        <f>SUMPRODUCT(E33:E37,M60:M64)+SUMPRODUCT(E42:E44,M69:M71)</f>
        <v>38323.476999999999</v>
      </c>
      <c r="R166" s="4">
        <f>SUMPRODUCT(E33:E37,E60:E64)+SUMPRODUCT(E42:E44,E69:E71)</f>
        <v>40329.224700000006</v>
      </c>
      <c r="T166" s="4">
        <f>Q72</f>
        <v>54775.6587</v>
      </c>
      <c r="U166" s="4">
        <f>T166-($Q$168*$Q166/($Q$166+$Q$167))</f>
        <v>52784.350093965833</v>
      </c>
      <c r="W166" s="4">
        <f>+T166-Q166</f>
        <v>16452.181700000001</v>
      </c>
      <c r="X166" s="4">
        <f>-Q166+U166</f>
        <v>14460.873093965834</v>
      </c>
      <c r="Z166" s="121">
        <f>+E154*Q166/1000</f>
        <v>2885.4244649267766</v>
      </c>
      <c r="AA166" s="121"/>
      <c r="AC166" s="3"/>
      <c r="AU166" s="66"/>
      <c r="AV166" s="66"/>
      <c r="AW166" s="66"/>
      <c r="AX166" s="66"/>
      <c r="AY166" s="66"/>
    </row>
    <row r="167" spans="1:51" ht="15" x14ac:dyDescent="0.35">
      <c r="A167" s="7"/>
      <c r="B167" t="s">
        <v>81</v>
      </c>
      <c r="I167" s="70"/>
      <c r="J167" s="70"/>
      <c r="K167" s="70"/>
      <c r="L167" s="70"/>
      <c r="M167" s="70"/>
      <c r="P167" t="s">
        <v>15</v>
      </c>
      <c r="Q167" s="4">
        <f>SUMPRODUCT(Q33:Q37,M60:M64)+SUMPRODUCT(Q42:Q44,M69:M71)</f>
        <v>71208.523000000001</v>
      </c>
      <c r="R167" s="169">
        <f>SUMPRODUCT(Q33:Q37,E60:E64)+SUMPRODUCT(Q42:Q44,E69:E71)</f>
        <v>74893.775299999994</v>
      </c>
      <c r="T167" s="4">
        <f>Q73</f>
        <v>60447.3413</v>
      </c>
      <c r="U167" s="4">
        <f>T167-($Q$168*$Q167/($Q$166+$Q$167))</f>
        <v>56747.307906034162</v>
      </c>
      <c r="W167" s="4">
        <f>+T167-Q167</f>
        <v>-10761.181700000001</v>
      </c>
      <c r="X167" s="4">
        <f>-Q167+U167</f>
        <v>-14461.215093965839</v>
      </c>
      <c r="Z167" s="121">
        <f>+E155*Q167/1000</f>
        <v>4070.210508178604</v>
      </c>
      <c r="AA167" s="69"/>
      <c r="AC167" s="3"/>
      <c r="AU167" s="66"/>
      <c r="AV167" s="66"/>
      <c r="AW167" s="66"/>
      <c r="AX167" s="66"/>
      <c r="AY167" s="66"/>
    </row>
    <row r="168" spans="1:51" ht="15" x14ac:dyDescent="0.35">
      <c r="A168" s="7"/>
      <c r="D168" s="73" t="s">
        <v>82</v>
      </c>
      <c r="E168" s="113">
        <v>122</v>
      </c>
      <c r="G168" s="73" t="s">
        <v>83</v>
      </c>
      <c r="H168" s="74">
        <v>4</v>
      </c>
      <c r="I168" s="70"/>
      <c r="J168" s="70"/>
      <c r="K168" s="70"/>
      <c r="L168" s="70"/>
      <c r="M168" s="70"/>
      <c r="P168" t="s">
        <v>191</v>
      </c>
      <c r="Q168" s="169">
        <f>SUM(W60:W64,W69:W71)/1000</f>
        <v>5691.3419999999996</v>
      </c>
      <c r="R168" s="4">
        <f>SUM(R166:R167)</f>
        <v>115223</v>
      </c>
      <c r="T168">
        <v>0</v>
      </c>
      <c r="U168" s="4">
        <v>0</v>
      </c>
      <c r="W168" s="4">
        <f>+T168-Q168</f>
        <v>-5691.3419999999996</v>
      </c>
      <c r="X168" s="4"/>
      <c r="Z168" s="69">
        <f>+E153*Q168/1000</f>
        <v>361.4306772402831</v>
      </c>
      <c r="AU168" s="66"/>
      <c r="AV168" s="66"/>
      <c r="AW168" s="66"/>
      <c r="AX168" s="66"/>
      <c r="AY168" s="66"/>
    </row>
    <row r="169" spans="1:51" x14ac:dyDescent="0.2">
      <c r="A169" s="7"/>
      <c r="D169" s="75" t="s">
        <v>84</v>
      </c>
      <c r="E169" s="74">
        <v>244</v>
      </c>
      <c r="G169" s="75" t="s">
        <v>85</v>
      </c>
      <c r="H169" s="74">
        <v>8</v>
      </c>
      <c r="I169" s="70"/>
      <c r="J169" s="70"/>
      <c r="K169" s="70"/>
      <c r="L169" s="70"/>
      <c r="M169" s="219"/>
      <c r="N169" s="220"/>
      <c r="Q169" s="137">
        <f>SUM(Q166:Q168)</f>
        <v>115223.342</v>
      </c>
      <c r="R169" s="2"/>
      <c r="S169" s="2"/>
      <c r="T169" s="2"/>
      <c r="U169" s="2"/>
      <c r="V169" s="2"/>
      <c r="W169" s="2"/>
      <c r="X169" s="2"/>
      <c r="Z169" s="121">
        <f>SUM(Z166:Z168)</f>
        <v>7317.0656503456639</v>
      </c>
      <c r="AA169" s="121"/>
      <c r="AC169" s="3">
        <f>+E134</f>
        <v>7317.2771770976242</v>
      </c>
      <c r="AU169" s="3"/>
      <c r="AV169" s="3"/>
      <c r="AW169" s="3"/>
      <c r="AX169" s="3"/>
      <c r="AY169" s="3"/>
    </row>
    <row r="170" spans="1:51" ht="15" x14ac:dyDescent="0.35">
      <c r="A170" s="7"/>
      <c r="D170" s="228"/>
      <c r="E170" s="228"/>
      <c r="F170" s="114"/>
      <c r="G170" s="73" t="s">
        <v>86</v>
      </c>
      <c r="H170">
        <f>+H168+H169</f>
        <v>12</v>
      </c>
      <c r="I170" s="70"/>
      <c r="J170" s="70"/>
      <c r="K170" s="70"/>
      <c r="L170" s="70"/>
      <c r="M170" s="219"/>
      <c r="N170" s="220"/>
      <c r="Q170" s="4"/>
      <c r="R170" s="4"/>
      <c r="T170" s="4"/>
      <c r="U170" s="4"/>
      <c r="W170" s="4"/>
      <c r="X170" s="4"/>
      <c r="Z170" s="69"/>
      <c r="AA170" s="69"/>
      <c r="AX170" s="3"/>
    </row>
    <row r="171" spans="1:51" x14ac:dyDescent="0.2">
      <c r="A171" s="7"/>
      <c r="B171" s="18" t="s">
        <v>158</v>
      </c>
      <c r="C171" s="76"/>
      <c r="D171" s="77"/>
      <c r="L171" s="78"/>
      <c r="M171" s="70"/>
      <c r="N171" s="70"/>
      <c r="O171" s="71" t="s">
        <v>251</v>
      </c>
      <c r="Q171" s="4"/>
      <c r="R171" s="4"/>
      <c r="T171" s="4"/>
      <c r="U171" s="4"/>
      <c r="W171" s="4"/>
      <c r="X171" s="4"/>
      <c r="Z171" s="121"/>
      <c r="AA171" s="121"/>
      <c r="AC171" s="3">
        <f>SUM(AC164:AC169)</f>
        <v>10582.346062923498</v>
      </c>
    </row>
    <row r="172" spans="1:51" x14ac:dyDescent="0.2">
      <c r="A172" s="7"/>
      <c r="B172" s="257"/>
      <c r="C172" s="76"/>
      <c r="D172" s="304"/>
      <c r="E172" s="77"/>
      <c r="G172" s="289"/>
      <c r="H172" s="68"/>
      <c r="L172" s="78"/>
      <c r="N172" s="221" t="s">
        <v>251</v>
      </c>
      <c r="Q172" s="4"/>
      <c r="R172" s="4"/>
      <c r="T172" s="4"/>
      <c r="U172" s="4"/>
      <c r="W172" s="4"/>
      <c r="X172" s="4"/>
      <c r="Z172" s="121"/>
      <c r="AA172" s="121"/>
      <c r="AC172" s="3"/>
    </row>
    <row r="173" spans="1:51" x14ac:dyDescent="0.2">
      <c r="A173" s="7"/>
      <c r="B173" s="18" t="s">
        <v>87</v>
      </c>
      <c r="C173" t="s">
        <v>25</v>
      </c>
      <c r="D173" s="11">
        <v>333.69</v>
      </c>
      <c r="E173" s="77" t="s">
        <v>88</v>
      </c>
      <c r="G173" s="73" t="s">
        <v>162</v>
      </c>
      <c r="H173" s="3">
        <f>ROUND(D173*E168*J$164,0)</f>
        <v>187034359</v>
      </c>
      <c r="I173" s="73"/>
      <c r="J173" s="357"/>
      <c r="K173" s="358"/>
      <c r="L173" s="119"/>
      <c r="Q173" s="4"/>
      <c r="R173" s="4"/>
      <c r="T173" s="4"/>
      <c r="U173" s="4"/>
      <c r="W173" s="4"/>
      <c r="X173" s="4"/>
      <c r="Z173" s="121"/>
      <c r="AA173" s="121"/>
      <c r="AC173" s="3"/>
    </row>
    <row r="174" spans="1:51" ht="15" x14ac:dyDescent="0.35">
      <c r="A174" s="7"/>
      <c r="B174" s="18"/>
      <c r="C174" t="s">
        <v>26</v>
      </c>
      <c r="D174" s="11">
        <v>333.69</v>
      </c>
      <c r="E174" s="77" t="s">
        <v>88</v>
      </c>
      <c r="G174" s="103" t="s">
        <v>163</v>
      </c>
      <c r="H174" s="104">
        <f>ROUND(D174*E169*J$164,0)</f>
        <v>374068718</v>
      </c>
      <c r="I174" s="73"/>
      <c r="J174" s="357"/>
      <c r="K174" s="358"/>
      <c r="L174" s="119"/>
      <c r="Q174" s="4"/>
      <c r="R174" s="4"/>
      <c r="T174" s="4"/>
      <c r="U174" s="4"/>
      <c r="W174" s="4"/>
      <c r="X174" s="4"/>
      <c r="Z174" s="69"/>
      <c r="AA174" s="69"/>
      <c r="AC174" s="3"/>
    </row>
    <row r="175" spans="1:51" x14ac:dyDescent="0.2">
      <c r="A175" s="7"/>
      <c r="B175" s="318"/>
      <c r="C175" s="318"/>
      <c r="D175" s="318"/>
      <c r="E175" s="318"/>
      <c r="F175" s="318"/>
      <c r="G175" s="73" t="s">
        <v>164</v>
      </c>
      <c r="H175" s="3">
        <f>SUM(H173:H174)</f>
        <v>561103077</v>
      </c>
      <c r="I175" s="73"/>
      <c r="J175" s="356"/>
      <c r="K175" s="358"/>
      <c r="L175" s="119"/>
      <c r="P175" s="257"/>
      <c r="Z175" s="121"/>
      <c r="AA175" s="121"/>
      <c r="AC175" s="3"/>
    </row>
    <row r="176" spans="1:51" x14ac:dyDescent="0.2">
      <c r="A176" s="7"/>
      <c r="B176" t="s">
        <v>153</v>
      </c>
      <c r="I176" s="73"/>
      <c r="J176" s="356"/>
      <c r="K176" s="358"/>
      <c r="L176" s="119"/>
      <c r="P176" s="296"/>
      <c r="Q176" s="296"/>
      <c r="R176" s="296"/>
      <c r="S176" s="296"/>
      <c r="T176" s="296"/>
      <c r="U176" s="296"/>
    </row>
    <row r="177" spans="1:50" x14ac:dyDescent="0.2">
      <c r="A177" s="7"/>
      <c r="B177" s="15" t="s">
        <v>154</v>
      </c>
      <c r="I177" s="73"/>
      <c r="J177" s="73"/>
      <c r="K177" s="73"/>
      <c r="L177" s="119"/>
      <c r="P177" s="296"/>
      <c r="Q177" s="296"/>
      <c r="R177" s="296"/>
      <c r="S177" s="296"/>
      <c r="T177" s="296"/>
      <c r="U177" s="296"/>
    </row>
    <row r="178" spans="1:50" x14ac:dyDescent="0.2">
      <c r="A178" s="7"/>
      <c r="B178" s="15"/>
      <c r="C178" s="88" t="str">
        <f>" ---------- Rate "&amp;C30&amp;" ----------"</f>
        <v xml:space="preserve"> ---------- Rate  ----------</v>
      </c>
      <c r="D178" s="89"/>
      <c r="E178" s="89"/>
      <c r="I178" s="73"/>
      <c r="J178" s="73"/>
      <c r="K178" s="73"/>
      <c r="L178" s="119"/>
      <c r="P178" s="296"/>
      <c r="Q178" s="296"/>
      <c r="R178" s="296"/>
      <c r="S178" s="296"/>
      <c r="T178" s="296"/>
      <c r="U178" s="296"/>
    </row>
    <row r="179" spans="1:50" x14ac:dyDescent="0.2">
      <c r="A179" s="7"/>
      <c r="C179" s="8" t="s">
        <v>140</v>
      </c>
      <c r="E179" s="8" t="s">
        <v>141</v>
      </c>
      <c r="I179" s="73"/>
      <c r="J179" s="73"/>
      <c r="K179" s="73"/>
      <c r="L179" s="119"/>
      <c r="P179" s="227"/>
      <c r="Q179" s="227"/>
      <c r="R179" s="227"/>
      <c r="S179" s="227"/>
      <c r="T179" s="227"/>
      <c r="U179" s="227"/>
    </row>
    <row r="180" spans="1:50" x14ac:dyDescent="0.2">
      <c r="A180" s="7"/>
      <c r="B180" s="73" t="s">
        <v>142</v>
      </c>
      <c r="C180" s="90"/>
      <c r="E180" s="99">
        <f>SUM(R65/(R65+R66))</f>
        <v>0.5017443036278828</v>
      </c>
      <c r="F180" s="95"/>
      <c r="I180" s="73"/>
      <c r="J180" s="73"/>
      <c r="K180" s="73"/>
      <c r="L180" s="119"/>
      <c r="P180" s="227"/>
      <c r="Q180" s="227"/>
      <c r="R180" s="227"/>
      <c r="S180" s="227"/>
      <c r="T180" s="227"/>
      <c r="U180" s="227"/>
    </row>
    <row r="181" spans="1:50" x14ac:dyDescent="0.2">
      <c r="A181" s="7"/>
      <c r="B181" s="73" t="s">
        <v>144</v>
      </c>
      <c r="C181" s="91"/>
      <c r="E181" s="92">
        <f>1-E180</f>
        <v>0.4982556963721172</v>
      </c>
      <c r="G181" s="4"/>
      <c r="I181" s="73"/>
      <c r="J181" s="73"/>
      <c r="K181" s="73"/>
      <c r="L181" s="119"/>
      <c r="AX181" s="99"/>
    </row>
    <row r="182" spans="1:50" x14ac:dyDescent="0.2">
      <c r="A182" s="7"/>
      <c r="B182" s="93" t="s">
        <v>155</v>
      </c>
      <c r="C182" s="94">
        <v>0.86519999999999997</v>
      </c>
      <c r="D182" t="s">
        <v>143</v>
      </c>
      <c r="J182" s="73"/>
      <c r="K182" s="73"/>
      <c r="L182" s="119"/>
    </row>
    <row r="183" spans="1:50" x14ac:dyDescent="0.2">
      <c r="A183"/>
      <c r="J183" s="73"/>
      <c r="K183" s="73"/>
      <c r="L183" s="119"/>
      <c r="P183" s="257"/>
    </row>
    <row r="184" spans="1:50" x14ac:dyDescent="0.2">
      <c r="A184" s="6" t="s">
        <v>89</v>
      </c>
      <c r="B184" s="1" t="s">
        <v>90</v>
      </c>
      <c r="P184" s="71"/>
      <c r="Q184" s="71"/>
      <c r="R184" s="71"/>
      <c r="S184" s="71"/>
      <c r="T184" s="71"/>
      <c r="U184" s="295"/>
    </row>
    <row r="185" spans="1:50" x14ac:dyDescent="0.2">
      <c r="A185" s="6"/>
      <c r="B185" s="15" t="s">
        <v>307</v>
      </c>
      <c r="F185" s="307">
        <v>2</v>
      </c>
      <c r="G185" t="s">
        <v>92</v>
      </c>
      <c r="Q185" s="295"/>
      <c r="R185" s="295"/>
      <c r="S185" s="295"/>
      <c r="T185" s="295"/>
      <c r="U185" s="295"/>
    </row>
    <row r="186" spans="1:50" x14ac:dyDescent="0.2">
      <c r="A186" s="6"/>
      <c r="B186" s="15" t="s">
        <v>310</v>
      </c>
      <c r="F186" s="308">
        <v>16.14</v>
      </c>
      <c r="G186" t="s">
        <v>92</v>
      </c>
      <c r="Q186" s="295"/>
      <c r="R186" s="295"/>
      <c r="S186" s="295"/>
      <c r="T186" s="295"/>
      <c r="U186" s="295"/>
    </row>
    <row r="187" spans="1:50" x14ac:dyDescent="0.2">
      <c r="A187" s="7"/>
      <c r="B187" s="15" t="s">
        <v>306</v>
      </c>
      <c r="F187" s="305">
        <f>F185+F186</f>
        <v>18.14</v>
      </c>
      <c r="G187" t="s">
        <v>92</v>
      </c>
      <c r="Q187" s="295"/>
      <c r="R187" s="295"/>
      <c r="S187" s="295"/>
      <c r="T187" s="295"/>
      <c r="U187" s="295"/>
    </row>
    <row r="188" spans="1:50" x14ac:dyDescent="0.2">
      <c r="A188" s="7"/>
      <c r="B188" s="1"/>
      <c r="E188" s="76"/>
      <c r="F188" s="77"/>
      <c r="P188" s="291"/>
      <c r="Q188" s="291"/>
      <c r="R188" s="291"/>
      <c r="S188" s="291"/>
      <c r="T188" s="291"/>
      <c r="U188" s="291"/>
    </row>
    <row r="189" spans="1:50" x14ac:dyDescent="0.2">
      <c r="A189" s="6" t="s">
        <v>93</v>
      </c>
      <c r="B189" s="1" t="s">
        <v>167</v>
      </c>
    </row>
    <row r="190" spans="1:50" ht="5.0999999999999996" customHeight="1" x14ac:dyDescent="0.2">
      <c r="A190" s="6"/>
      <c r="B190" s="1"/>
    </row>
    <row r="191" spans="1:50" x14ac:dyDescent="0.2">
      <c r="A191" s="6"/>
      <c r="B191" s="1"/>
      <c r="C191" s="2"/>
      <c r="D191" s="2"/>
      <c r="E191" s="2" t="str">
        <f>+E$13</f>
        <v>RT{1}</v>
      </c>
      <c r="F191" s="2" t="str">
        <f>+F$13</f>
        <v>RS{2}</v>
      </c>
      <c r="G191" s="2" t="str">
        <f>+G$13</f>
        <v>GS{3}</v>
      </c>
      <c r="H191" s="132" t="str">
        <f>+H$58</f>
        <v>GST {4}</v>
      </c>
      <c r="I191" s="2" t="str">
        <f>+I$13</f>
        <v>OL/SL</v>
      </c>
      <c r="J191" s="2"/>
      <c r="K191" s="2"/>
    </row>
    <row r="192" spans="1:50" x14ac:dyDescent="0.2">
      <c r="A192" s="7"/>
      <c r="B192" s="73" t="s">
        <v>94</v>
      </c>
      <c r="C192" s="122"/>
      <c r="D192" s="122"/>
      <c r="E192" s="123">
        <v>0</v>
      </c>
      <c r="F192" s="123">
        <v>0</v>
      </c>
      <c r="G192" s="123">
        <f>E192</f>
        <v>0</v>
      </c>
      <c r="H192" s="123">
        <f>E192</f>
        <v>0</v>
      </c>
      <c r="I192" s="123">
        <v>0</v>
      </c>
      <c r="J192" s="122"/>
      <c r="K192" s="122"/>
      <c r="L192" s="122"/>
    </row>
    <row r="193" spans="1:18" ht="8.1" customHeight="1" x14ac:dyDescent="0.2">
      <c r="A193" s="7"/>
      <c r="B193" s="73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</row>
    <row r="194" spans="1:18" x14ac:dyDescent="0.2">
      <c r="A194" s="7"/>
      <c r="B194" s="73" t="s">
        <v>131</v>
      </c>
      <c r="C194" s="122"/>
      <c r="D194" s="122"/>
      <c r="E194" s="123">
        <f>$H$175*(E$164/$J$164)/E$72</f>
        <v>29.77408213755454</v>
      </c>
      <c r="F194" s="123">
        <f>$H$175*(F$164/$J$164)/F$72</f>
        <v>43.027171295985582</v>
      </c>
      <c r="G194" s="123">
        <f>$H$175*(G$164/$J$164)/G$72</f>
        <v>23.73342391857102</v>
      </c>
      <c r="H194" s="123">
        <f>$H$175*(H$164/$J$164)/H$72</f>
        <v>17.705676603592782</v>
      </c>
      <c r="I194" s="123">
        <f>$H$175*(I$164/$J$164)/I$72</f>
        <v>2.9773840818896131E-2</v>
      </c>
      <c r="J194" s="122"/>
      <c r="K194" s="122"/>
      <c r="L194" s="122"/>
      <c r="M194" s="122"/>
    </row>
    <row r="195" spans="1:18" x14ac:dyDescent="0.2">
      <c r="A195" s="7"/>
      <c r="B195" s="73" t="s">
        <v>198</v>
      </c>
      <c r="C195" s="122"/>
      <c r="D195" s="122"/>
      <c r="E195" s="123">
        <f>$H$173*(E$164/$J$164)/SUM(E65:E68)</f>
        <v>29.122132637799353</v>
      </c>
      <c r="F195" s="123">
        <f>$H$173*(F$164/$J$164)/SUM(F65:F68)</f>
        <v>34.289751844403384</v>
      </c>
      <c r="G195" s="123">
        <f>$H$173*(G$164/$J$164)/SUM(G65:G68)</f>
        <v>21.959137049634226</v>
      </c>
      <c r="H195" s="123"/>
      <c r="I195" s="123">
        <f>$H$173*(I$164/$J$164)/SUM(I65:I68)</f>
        <v>2.9766211422928384E-2</v>
      </c>
      <c r="J195" s="122"/>
      <c r="K195" s="122"/>
      <c r="L195" s="122"/>
      <c r="M195" s="122"/>
    </row>
    <row r="196" spans="1:18" x14ac:dyDescent="0.2">
      <c r="A196" s="7"/>
      <c r="B196" s="73" t="s">
        <v>199</v>
      </c>
      <c r="C196" s="122"/>
      <c r="D196" s="122"/>
      <c r="E196" s="123">
        <f>$H$173*(E$164/$J$164)/R161</f>
        <v>71.413784819980279</v>
      </c>
      <c r="F196" s="123"/>
      <c r="G196" s="123"/>
      <c r="H196" s="123">
        <f>$H$173*(H$164/$J$164)/Q150</f>
        <v>40.251057509445957</v>
      </c>
      <c r="I196" s="123"/>
      <c r="J196" s="122"/>
      <c r="K196" s="122"/>
      <c r="L196" s="122"/>
      <c r="M196" s="122"/>
    </row>
    <row r="197" spans="1:18" x14ac:dyDescent="0.2">
      <c r="A197" s="7"/>
      <c r="B197" s="73" t="s">
        <v>201</v>
      </c>
      <c r="C197" s="122"/>
      <c r="D197" s="122"/>
      <c r="E197" s="123">
        <f>$H$174*(E$164/$J$164)/(E72-SUM(E65:E68))</f>
        <v>30.111127066096731</v>
      </c>
      <c r="F197" s="123">
        <f>$H$174*(F$164/$J$164)/(F72-SUM(F65:F68))</f>
        <v>49.30947994582781</v>
      </c>
      <c r="G197" s="123">
        <f>$H$174*(G$164/$J$164)/(G72-SUM(G65:G68))</f>
        <v>24.732615147998022</v>
      </c>
      <c r="H197" s="123"/>
      <c r="I197" s="123">
        <f>$H$174*(I$164/$J$164)/(I72-SUM(I65:I68))</f>
        <v>2.9777656983689362E-2</v>
      </c>
      <c r="J197" s="122"/>
      <c r="K197" s="122"/>
      <c r="L197" s="122"/>
      <c r="M197" s="197"/>
    </row>
    <row r="198" spans="1:18" x14ac:dyDescent="0.2">
      <c r="A198" s="7"/>
      <c r="B198" s="73" t="s">
        <v>200</v>
      </c>
      <c r="C198" s="122"/>
      <c r="D198" s="122"/>
      <c r="E198" s="123">
        <f>$H$174*(E$164/$J$164)/R166</f>
        <v>86.029285703993793</v>
      </c>
      <c r="F198" s="124"/>
      <c r="G198" s="124"/>
      <c r="H198" s="123">
        <f>$H$174*(H$164/$J$164)/Q154</f>
        <v>40.469057743799475</v>
      </c>
      <c r="I198" s="123"/>
      <c r="J198" s="122"/>
      <c r="K198" s="122"/>
      <c r="L198" s="122"/>
      <c r="M198" s="122"/>
    </row>
    <row r="199" spans="1:18" x14ac:dyDescent="0.2">
      <c r="A199" s="7"/>
      <c r="B199" s="73"/>
      <c r="C199" s="122"/>
      <c r="D199" s="122"/>
      <c r="E199" s="123"/>
      <c r="F199" s="123"/>
      <c r="G199" s="123"/>
      <c r="H199" s="123"/>
      <c r="I199" s="123"/>
      <c r="J199" s="122"/>
      <c r="K199" s="122"/>
      <c r="L199" s="122"/>
      <c r="M199" s="197" t="s">
        <v>251</v>
      </c>
    </row>
    <row r="200" spans="1:18" ht="15.75" x14ac:dyDescent="0.25">
      <c r="A200" s="7"/>
      <c r="B200" s="504" t="str">
        <f>$B$1</f>
        <v xml:space="preserve">Jersey Central Power &amp; Light </v>
      </c>
      <c r="C200" s="504"/>
      <c r="D200" s="504"/>
      <c r="E200" s="504"/>
      <c r="F200" s="504"/>
      <c r="G200" s="504"/>
      <c r="H200" s="504"/>
      <c r="I200" s="504"/>
      <c r="J200" s="504"/>
      <c r="K200" s="504"/>
      <c r="L200" s="504"/>
      <c r="M200" s="122"/>
    </row>
    <row r="201" spans="1:18" ht="15.75" x14ac:dyDescent="0.25">
      <c r="A201" s="7"/>
      <c r="B201" s="504" t="str">
        <f>$B$2</f>
        <v>Attachment 2</v>
      </c>
      <c r="C201" s="504"/>
      <c r="D201" s="504"/>
      <c r="E201" s="504"/>
      <c r="F201" s="504"/>
      <c r="G201" s="504"/>
      <c r="H201" s="504"/>
      <c r="I201" s="504"/>
      <c r="J201" s="504"/>
      <c r="K201" s="504"/>
      <c r="L201" s="504"/>
      <c r="M201" s="122"/>
    </row>
    <row r="202" spans="1:18" x14ac:dyDescent="0.2">
      <c r="A202" s="7"/>
      <c r="E202" s="122"/>
      <c r="F202" s="122"/>
      <c r="G202" s="122"/>
      <c r="H202" s="122"/>
      <c r="L202" s="122"/>
      <c r="M202" s="122"/>
      <c r="N202" s="122"/>
      <c r="O202" s="122"/>
      <c r="P202" s="122"/>
      <c r="Q202" s="122"/>
      <c r="R202" s="122"/>
    </row>
    <row r="203" spans="1:18" x14ac:dyDescent="0.2">
      <c r="A203" s="7"/>
      <c r="M203" s="122"/>
      <c r="N203" s="122"/>
      <c r="O203" s="122"/>
      <c r="P203" s="122"/>
      <c r="Q203" s="122"/>
      <c r="R203" s="122"/>
    </row>
    <row r="204" spans="1:18" x14ac:dyDescent="0.2">
      <c r="A204" s="6" t="s">
        <v>95</v>
      </c>
      <c r="B204" s="1" t="s">
        <v>96</v>
      </c>
      <c r="F204" s="85"/>
      <c r="M204" s="122"/>
      <c r="N204" s="122"/>
      <c r="O204" s="122"/>
      <c r="P204" s="122"/>
      <c r="Q204" s="122"/>
      <c r="R204" s="122"/>
    </row>
    <row r="205" spans="1:18" x14ac:dyDescent="0.2">
      <c r="A205" s="7"/>
      <c r="B205" s="1"/>
      <c r="M205" s="122"/>
      <c r="N205" s="122"/>
      <c r="O205" s="122"/>
      <c r="P205" s="122"/>
      <c r="Q205" s="122"/>
      <c r="R205" s="122"/>
    </row>
    <row r="206" spans="1:18" x14ac:dyDescent="0.2">
      <c r="A206" s="7"/>
      <c r="B206" s="1" t="s">
        <v>97</v>
      </c>
      <c r="M206" s="122"/>
      <c r="N206" s="122"/>
      <c r="O206" s="122"/>
      <c r="P206" s="122"/>
      <c r="Q206" s="122"/>
      <c r="R206" s="122"/>
    </row>
    <row r="207" spans="1:18" x14ac:dyDescent="0.2">
      <c r="A207" s="7"/>
      <c r="B207" s="15" t="s">
        <v>341</v>
      </c>
      <c r="M207" s="122"/>
      <c r="N207" s="122"/>
      <c r="O207" s="122"/>
      <c r="P207" s="122"/>
      <c r="Q207" s="122"/>
      <c r="R207" s="122"/>
    </row>
    <row r="208" spans="1:18" x14ac:dyDescent="0.2">
      <c r="A208" s="7"/>
      <c r="B208" s="15" t="s">
        <v>21</v>
      </c>
      <c r="M208" s="122"/>
      <c r="N208" s="122"/>
      <c r="O208" s="122"/>
      <c r="P208" s="122"/>
      <c r="Q208" s="122"/>
      <c r="R208" s="122"/>
    </row>
    <row r="209" spans="1:18" x14ac:dyDescent="0.2">
      <c r="A209" s="7"/>
      <c r="C209" s="2"/>
      <c r="D209" s="2"/>
      <c r="E209" s="2" t="str">
        <f>+E$13</f>
        <v>RT{1}</v>
      </c>
      <c r="F209" s="2" t="str">
        <f>+F$13</f>
        <v>RS{2}</v>
      </c>
      <c r="G209" s="2" t="str">
        <f>+G$13</f>
        <v>GS{3}</v>
      </c>
      <c r="H209" s="132" t="str">
        <f>+H$58</f>
        <v>GST {4}</v>
      </c>
      <c r="I209" s="2" t="str">
        <f>+I$13</f>
        <v>OL/SL</v>
      </c>
      <c r="J209" s="2"/>
      <c r="K209" s="2"/>
      <c r="M209" s="122"/>
      <c r="N209" s="122"/>
      <c r="O209" s="122"/>
      <c r="P209" s="122"/>
      <c r="Q209" s="122"/>
      <c r="R209" s="122"/>
    </row>
    <row r="210" spans="1:18" x14ac:dyDescent="0.2">
      <c r="A210" s="7"/>
      <c r="C210" s="2"/>
      <c r="D210" s="2"/>
      <c r="E210" s="60"/>
      <c r="F210" s="2"/>
      <c r="G210" s="2"/>
      <c r="M210" s="122"/>
      <c r="N210" s="122"/>
      <c r="O210" s="122"/>
      <c r="P210" s="122"/>
      <c r="Q210" s="122"/>
      <c r="R210" s="122"/>
    </row>
    <row r="211" spans="1:18" x14ac:dyDescent="0.2">
      <c r="A211" s="7"/>
      <c r="B211" s="23" t="s">
        <v>17</v>
      </c>
      <c r="C211" s="60"/>
      <c r="D211" s="60"/>
      <c r="E211" s="60">
        <f>+E149+(E$95*$F$187)+E$192+E195</f>
        <v>104.215103152474</v>
      </c>
      <c r="F211" s="60">
        <f>+F149+(F$95*$F$187)+F$192+F195</f>
        <v>109.91307679913713</v>
      </c>
      <c r="G211" s="60">
        <f>+G149+(G$95*$F$187)+G$192+G195</f>
        <v>97.604775280030978</v>
      </c>
      <c r="H211" s="60"/>
      <c r="I211" s="60">
        <f>+I149+(I$95*$F$187)+I$192+I195</f>
        <v>67.216747080259992</v>
      </c>
      <c r="J211" s="60"/>
      <c r="K211" s="60"/>
      <c r="L211" s="60"/>
      <c r="M211" s="122"/>
      <c r="N211" s="122"/>
      <c r="O211" s="122"/>
      <c r="P211" s="122"/>
      <c r="Q211" s="122"/>
      <c r="R211" s="122"/>
    </row>
    <row r="212" spans="1:18" x14ac:dyDescent="0.2">
      <c r="A212" s="7"/>
      <c r="B212" s="63" t="s">
        <v>72</v>
      </c>
      <c r="C212" s="60"/>
      <c r="D212" s="60"/>
      <c r="E212" s="60">
        <f>+E150+(E$95*$F$187)+E$192+E$196</f>
        <v>164.55415342252701</v>
      </c>
      <c r="F212" s="60"/>
      <c r="G212" s="60"/>
      <c r="H212" s="60">
        <f>+H150+(H$95*$F$187)+H$192+H$196</f>
        <v>132.14420637525708</v>
      </c>
      <c r="I212" s="60"/>
      <c r="J212" s="60"/>
      <c r="K212" s="60"/>
      <c r="M212" s="122"/>
      <c r="N212" s="122"/>
      <c r="O212" s="122"/>
      <c r="P212" s="122"/>
      <c r="Q212" s="122"/>
      <c r="R212" s="122"/>
    </row>
    <row r="213" spans="1:18" x14ac:dyDescent="0.2">
      <c r="A213" s="7"/>
      <c r="B213" s="63" t="s">
        <v>73</v>
      </c>
      <c r="C213" s="60"/>
      <c r="D213" s="60"/>
      <c r="E213" s="60">
        <f>+E151+(E$95*$F$187)+E$192</f>
        <v>62.665479854801184</v>
      </c>
      <c r="F213" s="60"/>
      <c r="G213" s="60"/>
      <c r="H213" s="60">
        <f>+H151+(H$95*$F$187)+H$192</f>
        <v>62.446660268498455</v>
      </c>
      <c r="I213" s="60"/>
      <c r="J213" s="60"/>
      <c r="K213" s="60"/>
      <c r="M213" s="122"/>
      <c r="N213" s="122"/>
      <c r="O213" s="122"/>
      <c r="P213" s="122"/>
      <c r="Q213" s="122"/>
      <c r="R213" s="122"/>
    </row>
    <row r="214" spans="1:18" x14ac:dyDescent="0.2">
      <c r="A214" s="7"/>
      <c r="B214" s="73" t="s">
        <v>142</v>
      </c>
      <c r="C214" s="60"/>
      <c r="D214" s="60"/>
      <c r="E214" s="60"/>
      <c r="F214" s="60">
        <f>(F211*SUM(F65:F68)-C182*10*E181*SUM(F65:F68))/SUM(F65:F68)</f>
        <v>105.60216851412558</v>
      </c>
      <c r="G214" s="60"/>
      <c r="H214" s="60"/>
      <c r="I214" s="60"/>
      <c r="J214" s="60"/>
      <c r="K214" s="60"/>
      <c r="M214" s="122"/>
      <c r="N214" s="122"/>
      <c r="O214" s="122"/>
      <c r="P214" s="122"/>
      <c r="Q214" s="122"/>
      <c r="R214" s="122"/>
    </row>
    <row r="215" spans="1:18" x14ac:dyDescent="0.2">
      <c r="A215" s="7"/>
      <c r="B215" s="73" t="s">
        <v>144</v>
      </c>
      <c r="C215" s="60"/>
      <c r="D215" s="60"/>
      <c r="E215" s="60"/>
      <c r="F215" s="60">
        <f>+F214+C182*10</f>
        <v>114.25416851412558</v>
      </c>
      <c r="G215" s="101"/>
      <c r="H215" s="60"/>
      <c r="I215" s="60"/>
      <c r="J215" s="60"/>
      <c r="K215" s="60"/>
      <c r="M215" s="122"/>
      <c r="N215" s="122"/>
      <c r="O215" s="122"/>
      <c r="P215" s="122"/>
      <c r="Q215" s="122"/>
      <c r="R215" s="122"/>
    </row>
    <row r="216" spans="1:18" x14ac:dyDescent="0.2">
      <c r="A216" s="7"/>
      <c r="C216" s="60"/>
      <c r="D216" s="60"/>
      <c r="E216" s="60"/>
      <c r="F216" s="60"/>
      <c r="G216" s="60"/>
      <c r="H216" s="60"/>
      <c r="I216" s="60"/>
      <c r="J216" s="60"/>
      <c r="K216" s="60"/>
      <c r="M216" s="122"/>
      <c r="N216" s="122"/>
      <c r="O216" s="122"/>
      <c r="P216" s="122"/>
      <c r="Q216" s="122"/>
      <c r="R216" s="122"/>
    </row>
    <row r="217" spans="1:18" x14ac:dyDescent="0.2">
      <c r="A217" s="7"/>
      <c r="B217" s="23" t="s">
        <v>18</v>
      </c>
      <c r="C217" s="60"/>
      <c r="D217" s="60"/>
      <c r="E217" s="60">
        <f>+E153+(E$95*$F$187)+E$192+E197</f>
        <v>113.89698510380545</v>
      </c>
      <c r="F217" s="60">
        <f>+F153+(F$95*$F$187)+F$192+F197</f>
        <v>132.62580945409377</v>
      </c>
      <c r="G217" s="60">
        <f>+G153+(G$95*$F$187)+G$192+G197</f>
        <v>107.28062140298397</v>
      </c>
      <c r="H217" s="60"/>
      <c r="I217" s="60">
        <f>+I153+(I$95*$F$187)+I$192+I197</f>
        <v>79.598872440334986</v>
      </c>
      <c r="J217" s="60"/>
      <c r="K217" s="60"/>
      <c r="L217" s="60"/>
      <c r="M217" s="122"/>
      <c r="N217" s="122"/>
      <c r="O217" s="122"/>
      <c r="P217" s="122"/>
      <c r="Q217" s="122"/>
      <c r="R217" s="122"/>
    </row>
    <row r="218" spans="1:18" x14ac:dyDescent="0.2">
      <c r="A218" s="7"/>
      <c r="B218" s="63" t="s">
        <v>72</v>
      </c>
      <c r="C218" s="60"/>
      <c r="D218" s="60"/>
      <c r="E218" s="60">
        <f>+E154+(E$95*$F$187)+E$192+E$198</f>
        <v>181.60109330415904</v>
      </c>
      <c r="F218" s="60"/>
      <c r="G218" s="60"/>
      <c r="H218" s="60">
        <f>+H154+(H$95*$F$187)+H$192+H$198</f>
        <v>129.71471074101504</v>
      </c>
      <c r="I218" s="60"/>
      <c r="J218" s="60"/>
      <c r="K218" s="60"/>
      <c r="M218" s="122"/>
      <c r="N218" s="122"/>
      <c r="O218" s="122"/>
      <c r="P218" s="122"/>
      <c r="Q218" s="122"/>
      <c r="R218" s="122"/>
    </row>
    <row r="219" spans="1:18" x14ac:dyDescent="0.2">
      <c r="A219" s="7"/>
      <c r="B219" s="63" t="s">
        <v>73</v>
      </c>
      <c r="C219" s="60"/>
      <c r="D219" s="60"/>
      <c r="E219" s="60">
        <f>+E155+(E$95*$F$187)+E$192</f>
        <v>77.439541704728214</v>
      </c>
      <c r="F219" s="60"/>
      <c r="G219" s="60"/>
      <c r="H219" s="60">
        <f>+H155+(H$95*$F$187)+H$192</f>
        <v>77.51757705898919</v>
      </c>
      <c r="I219" s="60"/>
      <c r="J219" s="60"/>
      <c r="K219" s="60"/>
      <c r="M219" s="122"/>
      <c r="N219" s="122"/>
      <c r="O219" s="122"/>
      <c r="P219" s="122"/>
      <c r="Q219" s="122"/>
      <c r="R219" s="122"/>
    </row>
    <row r="220" spans="1:18" x14ac:dyDescent="0.2">
      <c r="A220" s="7"/>
      <c r="C220" s="60"/>
      <c r="D220" s="60"/>
      <c r="E220" s="60"/>
      <c r="F220" s="60"/>
      <c r="G220" s="60"/>
      <c r="H220" s="60"/>
      <c r="I220" s="60"/>
      <c r="J220" s="60"/>
      <c r="K220" s="60"/>
      <c r="M220" s="122"/>
      <c r="N220" s="122"/>
      <c r="O220" s="122"/>
      <c r="P220" s="122"/>
      <c r="Q220" s="122"/>
      <c r="R220" s="122"/>
    </row>
    <row r="221" spans="1:18" x14ac:dyDescent="0.2">
      <c r="A221" s="7"/>
      <c r="B221" t="s">
        <v>98</v>
      </c>
      <c r="C221" s="60"/>
      <c r="D221" s="60"/>
      <c r="E221" s="60">
        <f>+E157+(E$95*$F$187)+E$192+E194</f>
        <v>110.59744254110537</v>
      </c>
      <c r="F221" s="60">
        <f>+F157+(F$95*$F$187)+F$192+F194</f>
        <v>123.12574421614475</v>
      </c>
      <c r="G221" s="60">
        <f>+G157+(G$95*$F$187)+G$192+G194</f>
        <v>103.79473824816709</v>
      </c>
      <c r="H221" s="60">
        <f>((H212*SUMPRODUCT(H38:H41,H65:H68)+H213*SUMPRODUCT(T38:T41,H65:H68))+(H218*(SUMPRODUCT(H33:H37,H60:H64)+SUMPRODUCT(H42:H44,H69:H71))+H219*(SUMPRODUCT(T33:T37,H60:H64)+SUMPRODUCT(T42:T44,H69:H71))))/H72</f>
        <v>98.094681000529661</v>
      </c>
      <c r="I221" s="60">
        <f>+I157+(I$95*$F$187)+I$192+I194</f>
        <v>75.470439430253023</v>
      </c>
      <c r="J221" s="60"/>
      <c r="K221" s="60"/>
      <c r="L221" s="60"/>
      <c r="M221" s="122"/>
      <c r="N221" s="122"/>
      <c r="O221" s="122"/>
      <c r="P221" s="122"/>
      <c r="Q221" s="122"/>
      <c r="R221" s="122"/>
    </row>
    <row r="222" spans="1:18" x14ac:dyDescent="0.2">
      <c r="A222" s="7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122"/>
      <c r="N222" s="122"/>
      <c r="O222" s="122"/>
      <c r="P222" s="122"/>
      <c r="Q222" s="122"/>
      <c r="R222" s="122"/>
    </row>
    <row r="223" spans="1:18" x14ac:dyDescent="0.2">
      <c r="A223" s="7"/>
      <c r="B223" s="1" t="s">
        <v>99</v>
      </c>
      <c r="M223" s="122"/>
      <c r="N223" s="122"/>
      <c r="O223" s="122"/>
      <c r="P223" s="122"/>
      <c r="Q223" s="122"/>
      <c r="R223" s="122"/>
    </row>
    <row r="224" spans="1:18" x14ac:dyDescent="0.2">
      <c r="A224" s="7"/>
      <c r="B224" s="15" t="s">
        <v>345</v>
      </c>
      <c r="M224" s="122"/>
      <c r="N224" s="122"/>
      <c r="O224" s="122"/>
      <c r="P224" s="122"/>
      <c r="Q224" s="122"/>
      <c r="R224" s="122"/>
    </row>
    <row r="225" spans="1:18" x14ac:dyDescent="0.2">
      <c r="A225" s="7"/>
      <c r="B225" s="15"/>
      <c r="M225" s="122"/>
      <c r="N225" s="122"/>
      <c r="O225" s="122"/>
      <c r="P225" s="122"/>
      <c r="Q225" s="122"/>
      <c r="R225" s="122"/>
    </row>
    <row r="226" spans="1:18" x14ac:dyDescent="0.2">
      <c r="A226" s="7"/>
      <c r="B226" s="63"/>
      <c r="C226" s="60"/>
      <c r="D226" s="60"/>
      <c r="I226" s="73"/>
      <c r="J226" s="60"/>
      <c r="K226" s="60"/>
      <c r="L226" s="77"/>
      <c r="M226" s="122"/>
      <c r="N226" s="122"/>
      <c r="O226" s="122"/>
      <c r="P226" s="122"/>
      <c r="Q226" s="122"/>
      <c r="R226" s="122"/>
    </row>
    <row r="227" spans="1:18" x14ac:dyDescent="0.2">
      <c r="A227" s="7"/>
      <c r="C227" s="60"/>
      <c r="D227" s="60"/>
    </row>
    <row r="228" spans="1:18" x14ac:dyDescent="0.2">
      <c r="A228" s="7"/>
      <c r="B228" s="32" t="s">
        <v>101</v>
      </c>
      <c r="C228" s="60"/>
      <c r="D228" s="60"/>
      <c r="I228" s="80"/>
      <c r="L228" s="77"/>
    </row>
    <row r="229" spans="1:18" x14ac:dyDescent="0.2">
      <c r="A229" s="7"/>
      <c r="B229" s="63"/>
      <c r="C229" s="60"/>
      <c r="D229" s="60"/>
      <c r="I229" s="73"/>
      <c r="J229" s="64"/>
      <c r="K229" s="64"/>
      <c r="L229" s="77"/>
    </row>
    <row r="230" spans="1:18" ht="15.75" x14ac:dyDescent="0.25">
      <c r="A230" s="7"/>
      <c r="B230" s="504" t="str">
        <f>$B$1</f>
        <v xml:space="preserve">Jersey Central Power &amp; Light </v>
      </c>
      <c r="C230" s="504"/>
      <c r="D230" s="504"/>
      <c r="E230" s="504"/>
      <c r="F230" s="504"/>
      <c r="G230" s="504"/>
      <c r="H230" s="504"/>
      <c r="I230" s="504"/>
      <c r="J230" s="504"/>
      <c r="K230" s="504"/>
      <c r="L230" s="504"/>
    </row>
    <row r="231" spans="1:18" ht="15.75" x14ac:dyDescent="0.25">
      <c r="A231" s="7"/>
      <c r="B231" s="504" t="str">
        <f>$B$2</f>
        <v>Attachment 2</v>
      </c>
      <c r="C231" s="504"/>
      <c r="D231" s="504"/>
      <c r="E231" s="504"/>
      <c r="F231" s="504"/>
      <c r="G231" s="504"/>
      <c r="H231" s="504"/>
      <c r="I231" s="504"/>
      <c r="J231" s="504"/>
      <c r="K231" s="504"/>
      <c r="L231" s="504"/>
    </row>
    <row r="232" spans="1:18" ht="15.75" x14ac:dyDescent="0.25">
      <c r="A232" s="7"/>
      <c r="B232" s="140"/>
      <c r="C232" s="140"/>
      <c r="D232" s="140"/>
      <c r="E232" s="140"/>
      <c r="F232" s="140"/>
      <c r="G232" s="140"/>
      <c r="H232" s="140"/>
      <c r="I232" s="140"/>
      <c r="J232" s="140"/>
      <c r="K232" s="140"/>
      <c r="L232" s="140"/>
    </row>
    <row r="233" spans="1:18" ht="15.75" x14ac:dyDescent="0.25">
      <c r="A233" s="6" t="s">
        <v>106</v>
      </c>
      <c r="B233" s="1" t="s">
        <v>238</v>
      </c>
      <c r="C233" s="17"/>
      <c r="E233" s="139"/>
      <c r="F233" s="8"/>
      <c r="L233" s="140"/>
    </row>
    <row r="234" spans="1:18" ht="15.75" x14ac:dyDescent="0.25">
      <c r="B234" t="s">
        <v>239</v>
      </c>
      <c r="L234" s="140"/>
    </row>
    <row r="235" spans="1:18" ht="15.75" x14ac:dyDescent="0.25">
      <c r="E235" s="2" t="s">
        <v>61</v>
      </c>
      <c r="F235" s="2" t="s">
        <v>62</v>
      </c>
      <c r="G235" s="2" t="s">
        <v>65</v>
      </c>
      <c r="H235" s="2" t="s">
        <v>203</v>
      </c>
      <c r="I235" s="2" t="s">
        <v>55</v>
      </c>
      <c r="L235" s="140"/>
    </row>
    <row r="236" spans="1:18" ht="15.75" x14ac:dyDescent="0.25">
      <c r="L236" s="140"/>
    </row>
    <row r="237" spans="1:18" ht="15.75" x14ac:dyDescent="0.25">
      <c r="B237" s="23" t="s">
        <v>17</v>
      </c>
      <c r="E237" s="4">
        <f>'Composite Cost Allocation'!E110</f>
        <v>2370994</v>
      </c>
      <c r="G237" s="4">
        <f>'Composite Cost Allocation'!G110</f>
        <v>2091570000</v>
      </c>
      <c r="I237" s="4">
        <f>'Composite Cost Allocation'!I110</f>
        <v>40326000</v>
      </c>
      <c r="L237" s="140"/>
    </row>
    <row r="238" spans="1:18" ht="15.75" x14ac:dyDescent="0.25">
      <c r="B238" s="63" t="s">
        <v>72</v>
      </c>
      <c r="E238" s="4">
        <f>'Composite Cost Allocation'!E111</f>
        <v>23328273</v>
      </c>
      <c r="H238" s="4">
        <f>'Composite Cost Allocation'!H111</f>
        <v>24495801.499999996</v>
      </c>
      <c r="L238" s="140"/>
    </row>
    <row r="239" spans="1:18" ht="15.75" x14ac:dyDescent="0.25">
      <c r="B239" s="63" t="s">
        <v>73</v>
      </c>
      <c r="E239" s="4">
        <f>'Composite Cost Allocation'!E112</f>
        <v>33868733</v>
      </c>
      <c r="H239" s="4">
        <f>'Composite Cost Allocation'!H112</f>
        <v>29455198.500000004</v>
      </c>
      <c r="L239" s="140"/>
    </row>
    <row r="240" spans="1:18" ht="15.75" x14ac:dyDescent="0.25">
      <c r="B240" s="73" t="s">
        <v>142</v>
      </c>
      <c r="F240" s="4">
        <f>'Composite Cost Allocation'!F113</f>
        <v>2024892000</v>
      </c>
      <c r="L240" s="140"/>
    </row>
    <row r="241" spans="1:14" ht="15.75" x14ac:dyDescent="0.25">
      <c r="B241" s="73" t="s">
        <v>144</v>
      </c>
      <c r="F241" s="4">
        <f>'Composite Cost Allocation'!F114</f>
        <v>2010814000</v>
      </c>
      <c r="L241" s="140"/>
    </row>
    <row r="242" spans="1:14" ht="15.75" x14ac:dyDescent="0.25">
      <c r="L242" s="140"/>
    </row>
    <row r="243" spans="1:14" ht="15.75" x14ac:dyDescent="0.25">
      <c r="B243" s="23" t="s">
        <v>18</v>
      </c>
      <c r="E243" s="4">
        <f>'Composite Cost Allocation'!E116</f>
        <v>5691342</v>
      </c>
      <c r="F243" s="4">
        <f>'Composite Cost Allocation'!F116</f>
        <v>5612850000</v>
      </c>
      <c r="G243" s="4">
        <f>'Composite Cost Allocation'!G116</f>
        <v>3714049000</v>
      </c>
      <c r="I243" s="4">
        <f>'Composite Cost Allocation'!I116</f>
        <v>80621000</v>
      </c>
      <c r="L243" s="140"/>
    </row>
    <row r="244" spans="1:14" ht="15.75" x14ac:dyDescent="0.25">
      <c r="B244" s="63" t="s">
        <v>72</v>
      </c>
      <c r="E244" s="4">
        <f>'Composite Cost Allocation'!E117</f>
        <v>38318319.753899992</v>
      </c>
      <c r="H244" s="4">
        <f>'Composite Cost Allocation'!H117</f>
        <v>48727693.200000003</v>
      </c>
      <c r="L244" s="140"/>
    </row>
    <row r="245" spans="1:14" ht="15.75" x14ac:dyDescent="0.25">
      <c r="B245" s="63" t="s">
        <v>73</v>
      </c>
      <c r="E245" s="4">
        <f>'Composite Cost Allocation'!E118</f>
        <v>71213338.246100008</v>
      </c>
      <c r="H245" s="4">
        <f>'Composite Cost Allocation'!H118</f>
        <v>64383306.799999997</v>
      </c>
      <c r="L245" s="140"/>
    </row>
    <row r="246" spans="1:14" ht="15.75" x14ac:dyDescent="0.25">
      <c r="J246" s="2" t="s">
        <v>13</v>
      </c>
      <c r="K246" s="2"/>
      <c r="M246" s="208" t="s">
        <v>274</v>
      </c>
      <c r="N246" s="208" t="s">
        <v>275</v>
      </c>
    </row>
    <row r="247" spans="1:14" x14ac:dyDescent="0.2">
      <c r="B247" s="73" t="s">
        <v>162</v>
      </c>
      <c r="E247" s="4">
        <f>SUM(E237:E241)</f>
        <v>59568000</v>
      </c>
      <c r="F247" s="4">
        <f>SUM(F237:F241)</f>
        <v>4035706000</v>
      </c>
      <c r="G247" s="4">
        <f>SUM(G237:G241)</f>
        <v>2091570000</v>
      </c>
      <c r="H247" s="4">
        <f>SUM(H237:H241)</f>
        <v>53951000</v>
      </c>
      <c r="I247" s="4">
        <f>SUM(I237:I241)</f>
        <v>40326000</v>
      </c>
      <c r="J247" s="4">
        <f>SUM(E247:I247)</f>
        <v>6281121000</v>
      </c>
      <c r="K247" s="4"/>
      <c r="M247" s="223">
        <f>ROUND(J247*$E$95/1000,0)</f>
        <v>7022288</v>
      </c>
      <c r="N247" s="223">
        <f>ROUND(J247*$E$98/1000,0)</f>
        <v>6942874</v>
      </c>
    </row>
    <row r="248" spans="1:14" x14ac:dyDescent="0.2">
      <c r="B248" s="73" t="s">
        <v>163</v>
      </c>
      <c r="E248" s="115">
        <f>SUM(E243:E245)</f>
        <v>115223000</v>
      </c>
      <c r="F248" s="115">
        <f>SUM(F243:F245)</f>
        <v>5612850000</v>
      </c>
      <c r="G248" s="10">
        <f>SUM(G243:G245)</f>
        <v>3714049000</v>
      </c>
      <c r="H248" s="10">
        <f>SUM(H243:H245)</f>
        <v>113111000</v>
      </c>
      <c r="I248" s="10">
        <f>SUM(I243:I245)</f>
        <v>80621000</v>
      </c>
      <c r="J248" s="115">
        <f>SUM(E248:I248)</f>
        <v>9635854000</v>
      </c>
      <c r="K248" s="115"/>
      <c r="M248" s="223">
        <f>ROUND(J248*$E$95/1000,0)</f>
        <v>10772877</v>
      </c>
      <c r="N248" s="223">
        <f>ROUND(J248*$E$98/1000,0)</f>
        <v>10651048</v>
      </c>
    </row>
    <row r="249" spans="1:14" x14ac:dyDescent="0.2">
      <c r="B249" s="73" t="s">
        <v>164</v>
      </c>
      <c r="E249" s="4">
        <f>SUM(E247:E248)</f>
        <v>174791000</v>
      </c>
      <c r="F249" s="4">
        <f>SUM(F247:F248)</f>
        <v>9648556000</v>
      </c>
      <c r="G249" s="4">
        <f>SUM(G247:G248)</f>
        <v>5805619000</v>
      </c>
      <c r="H249" s="4">
        <f>SUM(H247:H248)</f>
        <v>167062000</v>
      </c>
      <c r="I249" s="4">
        <f>SUM(I247:I248)</f>
        <v>120947000</v>
      </c>
      <c r="J249" s="4">
        <f>SUM(E249:I249)</f>
        <v>15916975000</v>
      </c>
      <c r="K249" s="4"/>
      <c r="M249" s="224">
        <f>SUM(M247:M248)</f>
        <v>17795165</v>
      </c>
      <c r="N249" s="224">
        <f>SUM(N247:N248)</f>
        <v>17593922</v>
      </c>
    </row>
    <row r="250" spans="1:14" ht="15.75" x14ac:dyDescent="0.25">
      <c r="A250" s="7"/>
      <c r="B250" s="140"/>
      <c r="C250" s="140"/>
      <c r="D250" s="140"/>
      <c r="E250" s="140"/>
      <c r="F250" s="140"/>
      <c r="G250" s="140"/>
      <c r="H250" s="140"/>
      <c r="I250" s="140"/>
      <c r="J250" s="222" t="s">
        <v>251</v>
      </c>
      <c r="K250" s="222"/>
      <c r="L250" s="140"/>
    </row>
    <row r="251" spans="1:14" ht="15.75" x14ac:dyDescent="0.25">
      <c r="A251" s="7"/>
      <c r="B251" s="140"/>
      <c r="C251" s="140"/>
      <c r="D251" s="140"/>
      <c r="E251" s="140"/>
      <c r="F251" s="140"/>
      <c r="G251" s="140"/>
      <c r="H251" s="140"/>
      <c r="I251" s="140"/>
      <c r="J251" s="140"/>
      <c r="K251" s="140"/>
      <c r="L251" s="140"/>
    </row>
    <row r="253" spans="1:14" x14ac:dyDescent="0.2">
      <c r="A253" s="6" t="s">
        <v>133</v>
      </c>
      <c r="B253" s="1" t="s">
        <v>168</v>
      </c>
    </row>
    <row r="254" spans="1:14" x14ac:dyDescent="0.2">
      <c r="A254" s="7"/>
      <c r="B254" s="1"/>
    </row>
    <row r="255" spans="1:14" x14ac:dyDescent="0.2">
      <c r="A255" s="7"/>
      <c r="C255" s="2"/>
      <c r="D255" s="2"/>
      <c r="E255" s="2" t="str">
        <f>+E$13</f>
        <v>RT{1}</v>
      </c>
      <c r="F255" s="2" t="str">
        <f>+F$13</f>
        <v>RS{2}</v>
      </c>
      <c r="G255" s="2" t="str">
        <f>+G$13</f>
        <v>GS{3}</v>
      </c>
      <c r="H255" s="132" t="str">
        <f>+H$58</f>
        <v>GST {4}</v>
      </c>
      <c r="I255" s="2" t="str">
        <f>+I$13</f>
        <v>OL/SL</v>
      </c>
      <c r="J255" s="2" t="s">
        <v>13</v>
      </c>
      <c r="K255" s="2"/>
      <c r="L255" s="2"/>
    </row>
    <row r="256" spans="1:14" x14ac:dyDescent="0.2">
      <c r="A256" s="7"/>
      <c r="B256" t="s">
        <v>134</v>
      </c>
    </row>
    <row r="257" spans="1:15" x14ac:dyDescent="0.2">
      <c r="A257" s="7"/>
      <c r="B257" s="23" t="s">
        <v>17</v>
      </c>
      <c r="C257" s="126"/>
      <c r="D257" s="126"/>
      <c r="E257" s="126">
        <f>+E211*E237/1000000</f>
        <v>247.09338428389697</v>
      </c>
      <c r="F257" s="126"/>
      <c r="G257" s="126">
        <f>+G211*G237/1000000</f>
        <v>204147.2198324544</v>
      </c>
      <c r="H257" s="121"/>
      <c r="I257" s="126">
        <f>+I211*I237/1000000</f>
        <v>2710.5825427585646</v>
      </c>
      <c r="J257" s="126"/>
      <c r="K257" s="126"/>
      <c r="L257" s="126"/>
    </row>
    <row r="258" spans="1:15" x14ac:dyDescent="0.2">
      <c r="A258" s="7"/>
      <c r="B258" s="63" t="s">
        <v>72</v>
      </c>
      <c r="C258" s="126"/>
      <c r="D258" s="126"/>
      <c r="E258" s="126">
        <f>+E212*E238/1000000</f>
        <v>3838.7642143245944</v>
      </c>
      <c r="F258" s="126"/>
      <c r="G258" s="126"/>
      <c r="H258" s="126">
        <f>+H212*H238/1000000</f>
        <v>3236.9782487433313</v>
      </c>
      <c r="I258" s="126"/>
      <c r="J258" s="126"/>
      <c r="K258" s="126"/>
      <c r="L258" s="126"/>
    </row>
    <row r="259" spans="1:15" x14ac:dyDescent="0.2">
      <c r="A259" s="7"/>
      <c r="B259" s="63" t="s">
        <v>73</v>
      </c>
      <c r="C259" s="126"/>
      <c r="D259" s="126"/>
      <c r="E259" s="126">
        <f>+E213*E239/1000000</f>
        <v>2122.4004055191399</v>
      </c>
      <c r="F259" s="126"/>
      <c r="G259" s="126"/>
      <c r="H259" s="126">
        <f>+H213*H239/1000000</f>
        <v>1839.3787738706856</v>
      </c>
      <c r="I259" s="126"/>
      <c r="J259" s="126"/>
      <c r="K259" s="126"/>
      <c r="L259" s="3"/>
      <c r="M259" s="3"/>
      <c r="N259" s="3"/>
    </row>
    <row r="260" spans="1:15" x14ac:dyDescent="0.2">
      <c r="A260" s="7"/>
      <c r="B260" s="73" t="s">
        <v>142</v>
      </c>
      <c r="C260" s="126"/>
      <c r="D260" s="126"/>
      <c r="E260" s="126"/>
      <c r="F260" s="126">
        <f>+F214*F240/1000000</f>
        <v>213832.98620690478</v>
      </c>
      <c r="G260" s="126"/>
      <c r="H260" s="121"/>
      <c r="I260" s="126"/>
      <c r="J260" s="126"/>
      <c r="K260" s="126"/>
      <c r="L260" s="126"/>
      <c r="O260" s="3"/>
    </row>
    <row r="261" spans="1:15" x14ac:dyDescent="0.2">
      <c r="A261" s="7"/>
      <c r="B261" s="73" t="s">
        <v>144</v>
      </c>
      <c r="C261" s="126"/>
      <c r="D261" s="126"/>
      <c r="E261" s="126"/>
      <c r="F261" s="126">
        <f>+F215*F241/1000000</f>
        <v>229743.88160656294</v>
      </c>
      <c r="G261" s="126"/>
      <c r="H261" s="121"/>
      <c r="I261" s="126"/>
      <c r="J261" s="126"/>
      <c r="K261" s="126"/>
      <c r="L261" s="126"/>
    </row>
    <row r="262" spans="1:15" x14ac:dyDescent="0.2">
      <c r="A262" s="7"/>
      <c r="C262" s="126"/>
      <c r="D262" s="126"/>
      <c r="E262" s="126"/>
      <c r="F262" s="126"/>
      <c r="G262" s="126"/>
      <c r="H262" s="121"/>
      <c r="I262" s="126"/>
      <c r="J262" s="126"/>
      <c r="K262" s="126"/>
      <c r="L262" s="126"/>
    </row>
    <row r="263" spans="1:15" x14ac:dyDescent="0.2">
      <c r="A263" s="7"/>
      <c r="B263" s="23" t="s">
        <v>18</v>
      </c>
      <c r="C263" s="126"/>
      <c r="D263" s="126"/>
      <c r="E263" s="126">
        <f>+E217*E243/1000000</f>
        <v>648.22669499466224</v>
      </c>
      <c r="F263" s="126">
        <f>+F217*F243/1000000</f>
        <v>744408.77459441021</v>
      </c>
      <c r="G263" s="126">
        <f>+G217*G243/1000000</f>
        <v>398445.48464113125</v>
      </c>
      <c r="I263" s="126">
        <f>+I217*I243/1000000</f>
        <v>6417.3406950122471</v>
      </c>
      <c r="J263" s="126"/>
      <c r="K263" s="126"/>
      <c r="L263" s="126"/>
    </row>
    <row r="264" spans="1:15" x14ac:dyDescent="0.2">
      <c r="A264" s="7"/>
      <c r="B264" s="63" t="s">
        <v>72</v>
      </c>
      <c r="C264" s="126"/>
      <c r="D264" s="126"/>
      <c r="E264" s="126">
        <f>+E218*E244/1000000</f>
        <v>6958.6487608865928</v>
      </c>
      <c r="F264" s="3"/>
      <c r="G264" s="3"/>
      <c r="H264" s="126">
        <f>+H218*H244/1000000</f>
        <v>6320.698628514926</v>
      </c>
      <c r="I264" s="3"/>
      <c r="J264" s="126"/>
      <c r="K264" s="126"/>
      <c r="L264" s="126"/>
    </row>
    <row r="265" spans="1:15" x14ac:dyDescent="0.2">
      <c r="A265" s="7"/>
      <c r="B265" s="63" t="s">
        <v>73</v>
      </c>
      <c r="C265" s="3"/>
      <c r="D265" s="3"/>
      <c r="E265" s="126">
        <f>+E219*E245/1000000</f>
        <v>5514.7282770417787</v>
      </c>
      <c r="H265" s="126">
        <f>+H219*H245/1000000</f>
        <v>4990.8379461815421</v>
      </c>
      <c r="J265" s="126"/>
      <c r="K265" s="126"/>
      <c r="L265" s="126"/>
    </row>
    <row r="266" spans="1:15" x14ac:dyDescent="0.2">
      <c r="A266" s="7"/>
      <c r="B266" s="5"/>
    </row>
    <row r="267" spans="1:15" x14ac:dyDescent="0.2">
      <c r="A267" s="7"/>
      <c r="B267" t="s">
        <v>135</v>
      </c>
    </row>
    <row r="268" spans="1:15" x14ac:dyDescent="0.2">
      <c r="A268" s="7"/>
      <c r="B268" s="5" t="s">
        <v>25</v>
      </c>
      <c r="E268" s="3">
        <f>SUM(E257:E261)</f>
        <v>6208.2580041276315</v>
      </c>
      <c r="F268" s="3">
        <f>SUM(F257:F261)</f>
        <v>443576.86781346775</v>
      </c>
      <c r="G268" s="3">
        <f>SUM(G257:G261)</f>
        <v>204147.2198324544</v>
      </c>
      <c r="H268" s="3">
        <f>SUM(H257:H261)</f>
        <v>5076.3570226140164</v>
      </c>
      <c r="I268" s="3">
        <f>SUM(I257:I261)</f>
        <v>2710.5825427585646</v>
      </c>
      <c r="J268" s="128">
        <f>SUM(E268:I268)</f>
        <v>661719.28521542239</v>
      </c>
      <c r="K268" s="128"/>
    </row>
    <row r="269" spans="1:15" x14ac:dyDescent="0.2">
      <c r="A269" s="7"/>
      <c r="B269" s="5" t="s">
        <v>26</v>
      </c>
      <c r="E269" s="3">
        <f>SUM(E263:E265)</f>
        <v>13121.603732923035</v>
      </c>
      <c r="F269" s="3">
        <f>SUM(F263:F265)</f>
        <v>744408.77459441021</v>
      </c>
      <c r="G269" s="3">
        <f>SUM(G263:G265)</f>
        <v>398445.48464113125</v>
      </c>
      <c r="H269" s="3">
        <f>SUM(H263:H265)</f>
        <v>11311.536574696467</v>
      </c>
      <c r="I269" s="3">
        <f>SUM(I263:I265)</f>
        <v>6417.3406950122471</v>
      </c>
      <c r="J269" s="128">
        <f>SUM(E269:I269)</f>
        <v>1173704.7402381732</v>
      </c>
      <c r="K269" s="128"/>
    </row>
    <row r="270" spans="1:15" x14ac:dyDescent="0.2">
      <c r="A270" s="7"/>
      <c r="B270" s="5" t="s">
        <v>13</v>
      </c>
      <c r="E270" s="3">
        <f>SUM(E268:E269)</f>
        <v>19329.861737050665</v>
      </c>
      <c r="F270" s="3">
        <f>SUM(F268:F269)</f>
        <v>1187985.6424078778</v>
      </c>
      <c r="G270" s="3">
        <f>SUM(G268:G269)</f>
        <v>602592.70447358559</v>
      </c>
      <c r="H270" s="3">
        <f>SUM(H268:H269)</f>
        <v>16387.893597310482</v>
      </c>
      <c r="I270" s="3">
        <f>SUM(I268:I269)</f>
        <v>9127.9232377708122</v>
      </c>
      <c r="J270" s="3">
        <f>SUM(E270:I270)</f>
        <v>1835424.0254535952</v>
      </c>
      <c r="K270" s="3"/>
    </row>
    <row r="271" spans="1:15" x14ac:dyDescent="0.2">
      <c r="A271" s="7"/>
    </row>
    <row r="272" spans="1:15" x14ac:dyDescent="0.2">
      <c r="A272" s="7"/>
      <c r="B272" t="s">
        <v>136</v>
      </c>
    </row>
    <row r="273" spans="1:14" x14ac:dyDescent="0.2">
      <c r="A273" s="7"/>
      <c r="B273" s="5" t="s">
        <v>25</v>
      </c>
      <c r="E273" s="127">
        <f t="shared" ref="E273:J273" si="21">+E268/E270</f>
        <v>0.32117446511414532</v>
      </c>
      <c r="F273" s="127">
        <f t="shared" si="21"/>
        <v>0.37338571442193574</v>
      </c>
      <c r="G273" s="127">
        <f t="shared" si="21"/>
        <v>0.33878143282666162</v>
      </c>
      <c r="H273" s="127">
        <f t="shared" si="21"/>
        <v>0.30976263010684474</v>
      </c>
      <c r="I273" s="127">
        <f t="shared" si="21"/>
        <v>0.29695501070192315</v>
      </c>
      <c r="J273" s="127">
        <f t="shared" si="21"/>
        <v>0.36052665544240614</v>
      </c>
      <c r="K273" s="127"/>
    </row>
    <row r="274" spans="1:14" x14ac:dyDescent="0.2">
      <c r="A274" s="7"/>
      <c r="B274" s="5" t="s">
        <v>26</v>
      </c>
      <c r="E274" s="127">
        <f t="shared" ref="E274:J274" si="22">+E269/E270</f>
        <v>0.67882553488585473</v>
      </c>
      <c r="F274" s="127">
        <f t="shared" si="22"/>
        <v>0.62661428557806431</v>
      </c>
      <c r="G274" s="127">
        <f t="shared" si="22"/>
        <v>0.66121856717333849</v>
      </c>
      <c r="H274" s="127">
        <f t="shared" si="22"/>
        <v>0.69023736989315532</v>
      </c>
      <c r="I274" s="127">
        <f t="shared" si="22"/>
        <v>0.70304498929807679</v>
      </c>
      <c r="J274" s="127">
        <f t="shared" si="22"/>
        <v>0.63947334455759408</v>
      </c>
      <c r="K274" s="127"/>
    </row>
    <row r="275" spans="1:14" x14ac:dyDescent="0.2">
      <c r="A275" s="7"/>
      <c r="B275" s="5"/>
      <c r="E275" s="127"/>
      <c r="F275" s="127"/>
      <c r="G275" s="127"/>
      <c r="H275" s="127"/>
      <c r="I275" s="127"/>
      <c r="J275" s="127"/>
      <c r="K275" s="127"/>
    </row>
    <row r="276" spans="1:14" ht="15.75" x14ac:dyDescent="0.25">
      <c r="A276" s="7"/>
      <c r="B276" s="504" t="str">
        <f>$B$1</f>
        <v xml:space="preserve">Jersey Central Power &amp; Light </v>
      </c>
      <c r="C276" s="504"/>
      <c r="D276" s="504"/>
      <c r="E276" s="504"/>
      <c r="F276" s="504"/>
      <c r="G276" s="504"/>
      <c r="H276" s="504"/>
      <c r="I276" s="504"/>
      <c r="J276" s="504"/>
      <c r="K276" s="504"/>
      <c r="L276" s="504"/>
    </row>
    <row r="277" spans="1:14" ht="15.75" x14ac:dyDescent="0.25">
      <c r="A277" s="7"/>
      <c r="B277" s="504" t="str">
        <f>$B$2</f>
        <v>Attachment 2</v>
      </c>
      <c r="C277" s="504"/>
      <c r="D277" s="504"/>
      <c r="E277" s="504"/>
      <c r="F277" s="504"/>
      <c r="G277" s="504"/>
      <c r="H277" s="504"/>
      <c r="I277" s="504"/>
      <c r="J277" s="504"/>
      <c r="K277" s="504"/>
      <c r="L277" s="504"/>
    </row>
    <row r="280" spans="1:14" x14ac:dyDescent="0.2">
      <c r="A280" s="6" t="s">
        <v>243</v>
      </c>
      <c r="C280" s="147" t="s">
        <v>386</v>
      </c>
      <c r="D280" s="196"/>
      <c r="E280" s="196"/>
    </row>
    <row r="282" spans="1:14" x14ac:dyDescent="0.2">
      <c r="A282"/>
    </row>
    <row r="283" spans="1:14" x14ac:dyDescent="0.2">
      <c r="A283"/>
    </row>
    <row r="284" spans="1:14" x14ac:dyDescent="0.2">
      <c r="A284" s="6" t="s">
        <v>241</v>
      </c>
      <c r="B284" s="1" t="s">
        <v>244</v>
      </c>
      <c r="G284" s="3"/>
    </row>
    <row r="285" spans="1:14" x14ac:dyDescent="0.2">
      <c r="A285" s="7"/>
      <c r="C285" s="60"/>
      <c r="D285" s="60"/>
    </row>
    <row r="286" spans="1:14" x14ac:dyDescent="0.2">
      <c r="A286" s="7"/>
      <c r="B286" s="1" t="s">
        <v>102</v>
      </c>
      <c r="C286" s="60"/>
      <c r="D286" s="60"/>
    </row>
    <row r="287" spans="1:14" x14ac:dyDescent="0.2">
      <c r="A287" s="7"/>
      <c r="B287" s="73" t="s">
        <v>103</v>
      </c>
      <c r="C287" s="121">
        <f>(+SUMPRODUCT(C221:I221,C72:I72))/1000</f>
        <v>1835425.5969990182</v>
      </c>
    </row>
    <row r="288" spans="1:14" x14ac:dyDescent="0.2">
      <c r="A288" s="7"/>
      <c r="C288" s="73" t="s">
        <v>104</v>
      </c>
      <c r="D288" s="122">
        <f>+C287/SUMPRODUCT(E72:I72,E95:I95)*1000</f>
        <v>103.14180944329921</v>
      </c>
      <c r="E288" t="s">
        <v>105</v>
      </c>
      <c r="M288" s="217" t="s">
        <v>266</v>
      </c>
      <c r="N288" s="218">
        <f>C287/SUMPRODUCT(E72:I72,E98:I98)*1000</f>
        <v>104.32157324141495</v>
      </c>
    </row>
    <row r="289" spans="1:21" x14ac:dyDescent="0.2">
      <c r="A289" s="7"/>
      <c r="O289" s="217" t="s">
        <v>264</v>
      </c>
      <c r="P289" s="217"/>
      <c r="Q289" s="217"/>
      <c r="R289" s="217"/>
    </row>
    <row r="290" spans="1:21" x14ac:dyDescent="0.2">
      <c r="A290" s="7"/>
      <c r="C290" s="73"/>
      <c r="D290" s="209"/>
      <c r="I290" t="s">
        <v>251</v>
      </c>
    </row>
    <row r="291" spans="1:21" x14ac:dyDescent="0.2">
      <c r="A291" s="6" t="s">
        <v>242</v>
      </c>
      <c r="B291" s="1" t="s">
        <v>219</v>
      </c>
      <c r="C291" s="73"/>
      <c r="D291" s="206"/>
    </row>
    <row r="292" spans="1:21" x14ac:dyDescent="0.2">
      <c r="A292" s="7"/>
    </row>
    <row r="293" spans="1:21" x14ac:dyDescent="0.2">
      <c r="A293" s="7"/>
      <c r="B293" t="s">
        <v>273</v>
      </c>
      <c r="G293" s="204" t="s">
        <v>176</v>
      </c>
      <c r="H293" s="10"/>
      <c r="I293" s="10"/>
      <c r="J293" s="10"/>
      <c r="K293" s="10"/>
      <c r="M293" t="s">
        <v>272</v>
      </c>
    </row>
    <row r="294" spans="1:21" x14ac:dyDescent="0.2">
      <c r="A294" s="7"/>
      <c r="B294" s="5" t="s">
        <v>25</v>
      </c>
      <c r="C294" s="119">
        <f>+J268/SUMPRODUCT(Q64:U64,E$95:I$95)*1000</f>
        <v>94.231288213896946</v>
      </c>
      <c r="D294" t="s">
        <v>137</v>
      </c>
      <c r="H294" s="2" t="s">
        <v>25</v>
      </c>
      <c r="I294" s="205">
        <f>ROUND(C294/$D$288,4)</f>
        <v>0.91359999999999997</v>
      </c>
      <c r="M294" s="199" t="s">
        <v>25</v>
      </c>
      <c r="N294" s="200">
        <f>J268/SUMPRODUCT(Q64:U64,E$98:I$98)*1000</f>
        <v>95.309131070102453</v>
      </c>
      <c r="R294" s="204" t="s">
        <v>176</v>
      </c>
      <c r="S294" s="10"/>
      <c r="T294" s="10"/>
      <c r="U294" s="10"/>
    </row>
    <row r="295" spans="1:21" x14ac:dyDescent="0.2">
      <c r="A295" s="7"/>
      <c r="B295" s="5" t="s">
        <v>26</v>
      </c>
      <c r="C295" s="119">
        <f>+J269/SUMPRODUCT(Q60:U60,E$95:I$95)*1000</f>
        <v>108.94997718206766</v>
      </c>
      <c r="D295" t="s">
        <v>137</v>
      </c>
      <c r="H295" s="2" t="s">
        <v>26</v>
      </c>
      <c r="I295" s="205">
        <f>ROUND(C295/$D$288,4)</f>
        <v>1.0563</v>
      </c>
      <c r="M295" s="199" t="s">
        <v>26</v>
      </c>
      <c r="N295" s="200">
        <f>J269/SUMPRODUCT(Q60:U60,E$98:I$98)*1000</f>
        <v>110.19617636723515</v>
      </c>
      <c r="O295" s="198" t="s">
        <v>265</v>
      </c>
      <c r="P295" s="198"/>
      <c r="Q295" s="203"/>
      <c r="S295" s="201" t="s">
        <v>25</v>
      </c>
      <c r="T295" s="202">
        <f>ROUND(N294/N288,4)</f>
        <v>0.91359999999999997</v>
      </c>
    </row>
    <row r="296" spans="1:21" x14ac:dyDescent="0.2">
      <c r="A296" s="7"/>
      <c r="O296" s="198" t="s">
        <v>265</v>
      </c>
      <c r="P296" s="198"/>
      <c r="Q296" s="203"/>
      <c r="S296" s="201" t="s">
        <v>26</v>
      </c>
      <c r="T296" s="202">
        <f>ROUND(N295/N288,4)</f>
        <v>1.0563</v>
      </c>
    </row>
    <row r="297" spans="1:21" x14ac:dyDescent="0.2">
      <c r="A297" s="7"/>
      <c r="G297" s="204" t="s">
        <v>305</v>
      </c>
    </row>
    <row r="298" spans="1:21" x14ac:dyDescent="0.2">
      <c r="A298" s="7"/>
      <c r="E298" s="114"/>
      <c r="F298" s="4"/>
      <c r="H298" s="2" t="s">
        <v>25</v>
      </c>
      <c r="I298" s="299">
        <f>IF(I295&gt;I294,1,I294)</f>
        <v>1</v>
      </c>
    </row>
    <row r="299" spans="1:21" x14ac:dyDescent="0.2">
      <c r="A299" s="1" t="s">
        <v>108</v>
      </c>
      <c r="E299" s="81"/>
      <c r="F299" s="84"/>
      <c r="H299" s="2" t="s">
        <v>26</v>
      </c>
      <c r="I299" s="299">
        <f>IF(I295&gt;I294,1,I295)</f>
        <v>1</v>
      </c>
    </row>
    <row r="300" spans="1:21" x14ac:dyDescent="0.2">
      <c r="A300" s="7"/>
      <c r="B300" s="73" t="s">
        <v>132</v>
      </c>
      <c r="C300" s="85">
        <f>D173</f>
        <v>333.69</v>
      </c>
      <c r="D300" s="77" t="s">
        <v>160</v>
      </c>
      <c r="E300" s="81"/>
      <c r="F300" s="84"/>
    </row>
    <row r="301" spans="1:21" x14ac:dyDescent="0.2">
      <c r="A301" s="7"/>
      <c r="B301" s="73"/>
      <c r="C301" s="85">
        <f>D174</f>
        <v>333.69</v>
      </c>
      <c r="D301" s="77" t="s">
        <v>161</v>
      </c>
      <c r="E301" s="81"/>
      <c r="F301" s="84"/>
    </row>
    <row r="302" spans="1:21" x14ac:dyDescent="0.2">
      <c r="A302" s="7"/>
      <c r="B302" s="73" t="s">
        <v>159</v>
      </c>
      <c r="C302" s="392" t="s">
        <v>339</v>
      </c>
      <c r="D302" s="77"/>
      <c r="E302" s="81"/>
      <c r="F302" s="84"/>
    </row>
    <row r="303" spans="1:21" x14ac:dyDescent="0.2">
      <c r="A303" s="7"/>
      <c r="B303" s="73" t="s">
        <v>109</v>
      </c>
      <c r="C303" s="125">
        <f>+H168</f>
        <v>4</v>
      </c>
      <c r="D303" t="s">
        <v>110</v>
      </c>
      <c r="E303" s="81"/>
      <c r="F303" s="84"/>
    </row>
    <row r="304" spans="1:21" x14ac:dyDescent="0.2">
      <c r="A304" s="7"/>
      <c r="B304" s="73"/>
      <c r="C304" s="125">
        <f>+H169</f>
        <v>8</v>
      </c>
      <c r="D304" t="s">
        <v>111</v>
      </c>
      <c r="E304" s="81"/>
      <c r="F304" s="84"/>
    </row>
    <row r="305" spans="1:13" x14ac:dyDescent="0.2">
      <c r="A305" s="7"/>
      <c r="B305" s="289" t="s">
        <v>308</v>
      </c>
      <c r="C305" s="85">
        <f>+F187</f>
        <v>18.14</v>
      </c>
      <c r="D305" t="s">
        <v>113</v>
      </c>
      <c r="E305" s="81"/>
      <c r="F305" s="84"/>
    </row>
    <row r="306" spans="1:13" x14ac:dyDescent="0.2">
      <c r="A306" s="7"/>
      <c r="B306" s="73" t="s">
        <v>114</v>
      </c>
      <c r="C306" s="257" t="s">
        <v>387</v>
      </c>
      <c r="E306" s="81"/>
      <c r="F306" s="84"/>
      <c r="M306" s="257" t="s">
        <v>251</v>
      </c>
    </row>
    <row r="307" spans="1:13" x14ac:dyDescent="0.2">
      <c r="A307" s="7"/>
      <c r="B307" s="73" t="s">
        <v>115</v>
      </c>
      <c r="C307" s="310" t="s">
        <v>388</v>
      </c>
      <c r="E307" s="81"/>
      <c r="F307" s="84"/>
    </row>
    <row r="308" spans="1:13" x14ac:dyDescent="0.2">
      <c r="A308" s="7"/>
      <c r="B308" s="73"/>
      <c r="C308" s="310" t="s">
        <v>389</v>
      </c>
      <c r="E308" s="81"/>
      <c r="F308" s="84"/>
    </row>
    <row r="309" spans="1:13" x14ac:dyDescent="0.2">
      <c r="A309" s="7"/>
      <c r="B309" s="73" t="s">
        <v>116</v>
      </c>
      <c r="C309" s="257" t="s">
        <v>390</v>
      </c>
      <c r="E309" s="81"/>
      <c r="F309" s="84"/>
    </row>
    <row r="310" spans="1:13" x14ac:dyDescent="0.2">
      <c r="A310" s="7"/>
      <c r="B310" s="73" t="s">
        <v>270</v>
      </c>
      <c r="C310" t="s">
        <v>271</v>
      </c>
      <c r="E310" s="81"/>
      <c r="F310" s="84"/>
    </row>
    <row r="311" spans="1:13" x14ac:dyDescent="0.2">
      <c r="A311" s="7"/>
      <c r="B311" s="73" t="s">
        <v>267</v>
      </c>
      <c r="C311" t="s">
        <v>268</v>
      </c>
      <c r="E311" s="81"/>
      <c r="F311" s="84"/>
    </row>
    <row r="312" spans="1:13" x14ac:dyDescent="0.2">
      <c r="A312" s="7"/>
      <c r="B312" s="73" t="s">
        <v>118</v>
      </c>
      <c r="C312" t="s">
        <v>214</v>
      </c>
      <c r="E312" s="83"/>
      <c r="F312" s="84"/>
    </row>
    <row r="313" spans="1:13" x14ac:dyDescent="0.2">
      <c r="C313" t="s">
        <v>119</v>
      </c>
      <c r="E313" s="81"/>
      <c r="F313" s="84"/>
    </row>
    <row r="314" spans="1:13" x14ac:dyDescent="0.2">
      <c r="B314" s="73" t="s">
        <v>120</v>
      </c>
      <c r="C314" s="86" t="s">
        <v>189</v>
      </c>
      <c r="E314" s="81"/>
      <c r="F314" s="84"/>
    </row>
    <row r="315" spans="1:13" x14ac:dyDescent="0.2">
      <c r="A315" s="7"/>
      <c r="C315" s="86" t="s">
        <v>121</v>
      </c>
      <c r="E315" s="82"/>
    </row>
    <row r="316" spans="1:13" x14ac:dyDescent="0.2">
      <c r="C316" s="86" t="s">
        <v>188</v>
      </c>
    </row>
    <row r="317" spans="1:13" x14ac:dyDescent="0.2">
      <c r="A317" s="7"/>
      <c r="B317" s="289" t="s">
        <v>311</v>
      </c>
      <c r="C317" s="320" t="s">
        <v>312</v>
      </c>
      <c r="E317" s="114"/>
      <c r="F317" s="4"/>
    </row>
    <row r="318" spans="1:13" x14ac:dyDescent="0.2">
      <c r="A318" s="7"/>
      <c r="B318" s="306" t="s">
        <v>251</v>
      </c>
      <c r="C318" s="9"/>
      <c r="E318" s="114"/>
      <c r="F318" s="114"/>
    </row>
  </sheetData>
  <mergeCells count="17">
    <mergeCell ref="M30:N30"/>
    <mergeCell ref="B276:L276"/>
    <mergeCell ref="B277:L277"/>
    <mergeCell ref="B3:L3"/>
    <mergeCell ref="B230:L230"/>
    <mergeCell ref="B231:L231"/>
    <mergeCell ref="B103:L103"/>
    <mergeCell ref="B104:L104"/>
    <mergeCell ref="B143:L143"/>
    <mergeCell ref="B144:L144"/>
    <mergeCell ref="B200:L200"/>
    <mergeCell ref="B201:L201"/>
    <mergeCell ref="B1:L1"/>
    <mergeCell ref="B2:L2"/>
    <mergeCell ref="B52:L52"/>
    <mergeCell ref="B53:L53"/>
    <mergeCell ref="B5:L5"/>
  </mergeCells>
  <phoneticPr fontId="34" type="noConversion"/>
  <pageMargins left="0.97" right="0.79" top="0.69" bottom="0.69" header="0.33" footer="0.5"/>
  <pageSetup scale="70" fitToHeight="0" orientation="landscape" r:id="rId1"/>
  <headerFooter alignWithMargins="0">
    <oddFooter>&amp;L&amp;F    &amp;A&amp;CPage &amp;P of &amp;N&amp;R&amp;D</oddFooter>
  </headerFooter>
  <rowBreaks count="6" manualBreakCount="6">
    <brk id="51" max="11" man="1"/>
    <brk id="102" max="11" man="1"/>
    <brk id="142" max="11" man="1"/>
    <brk id="198" max="11" man="1"/>
    <brk id="229" max="11" man="1"/>
    <brk id="275" max="11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pageSetUpPr fitToPage="1"/>
  </sheetPr>
  <dimension ref="A1:AF217"/>
  <sheetViews>
    <sheetView view="pageBreakPreview" zoomScaleNormal="100" zoomScaleSheetLayoutView="100" workbookViewId="0"/>
  </sheetViews>
  <sheetFormatPr defaultColWidth="9.140625" defaultRowHeight="12.75" x14ac:dyDescent="0.2"/>
  <cols>
    <col min="1" max="1" width="16.140625" style="12" customWidth="1"/>
    <col min="2" max="2" width="27.85546875" customWidth="1"/>
    <col min="3" max="3" width="11.85546875" customWidth="1"/>
    <col min="4" max="4" width="23.28515625" customWidth="1"/>
    <col min="5" max="5" width="14.42578125" customWidth="1"/>
    <col min="6" max="6" width="15" customWidth="1"/>
    <col min="7" max="7" width="15.140625" customWidth="1"/>
    <col min="8" max="8" width="16.140625" customWidth="1"/>
    <col min="9" max="9" width="14.140625" customWidth="1"/>
    <col min="10" max="10" width="15.85546875" customWidth="1"/>
    <col min="11" max="11" width="3.140625" customWidth="1"/>
    <col min="12" max="12" width="5.5703125" customWidth="1"/>
    <col min="13" max="14" width="4.5703125" customWidth="1"/>
    <col min="15" max="15" width="20.140625" customWidth="1"/>
    <col min="16" max="16" width="21.42578125" customWidth="1"/>
    <col min="17" max="17" width="18.28515625" customWidth="1"/>
    <col min="18" max="18" width="16.85546875" customWidth="1"/>
    <col min="19" max="19" width="16.28515625" customWidth="1"/>
    <col min="20" max="21" width="14.140625" customWidth="1"/>
    <col min="22" max="22" width="13.5703125" customWidth="1"/>
    <col min="23" max="23" width="14.85546875" bestFit="1" customWidth="1"/>
    <col min="24" max="24" width="17.85546875" customWidth="1"/>
    <col min="25" max="25" width="16.42578125" bestFit="1" customWidth="1"/>
    <col min="26" max="26" width="14.140625" customWidth="1"/>
    <col min="27" max="29" width="13.5703125" customWidth="1"/>
    <col min="30" max="30" width="17.5703125" customWidth="1"/>
    <col min="31" max="31" width="16.5703125" customWidth="1"/>
    <col min="32" max="32" width="14.42578125" customWidth="1"/>
  </cols>
  <sheetData>
    <row r="1" spans="1:16" ht="15.75" x14ac:dyDescent="0.25">
      <c r="B1" s="504" t="s">
        <v>69</v>
      </c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</row>
    <row r="2" spans="1:16" ht="15.75" x14ac:dyDescent="0.25">
      <c r="B2" s="504" t="s">
        <v>187</v>
      </c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4"/>
    </row>
    <row r="3" spans="1:16" ht="15.75" x14ac:dyDescent="0.25">
      <c r="B3" s="504" t="str">
        <f>'BGS PTY25 Cost Alloc'!$B$3</f>
        <v>2027 BGS Auction Cost and Bid Factor Tables</v>
      </c>
      <c r="C3" s="504"/>
      <c r="D3" s="504"/>
      <c r="E3" s="504"/>
      <c r="F3" s="504"/>
      <c r="G3" s="504"/>
      <c r="H3" s="504"/>
      <c r="I3" s="504"/>
      <c r="J3" s="504"/>
      <c r="K3" s="504"/>
      <c r="L3" s="504"/>
      <c r="M3" s="504"/>
      <c r="N3" s="504"/>
    </row>
    <row r="4" spans="1:16" ht="15.75" x14ac:dyDescent="0.25"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</row>
    <row r="5" spans="1:16" ht="15.75" x14ac:dyDescent="0.25">
      <c r="B5" s="504" t="s">
        <v>303</v>
      </c>
      <c r="C5" s="504"/>
      <c r="D5" s="504"/>
      <c r="E5" s="504"/>
      <c r="F5" s="504"/>
      <c r="G5" s="504"/>
      <c r="H5" s="504"/>
      <c r="I5" s="504"/>
      <c r="J5" s="504"/>
      <c r="K5" s="504"/>
      <c r="L5" s="504"/>
      <c r="M5" s="504"/>
      <c r="N5" s="504"/>
    </row>
    <row r="6" spans="1:16" x14ac:dyDescent="0.2">
      <c r="N6" s="102" t="s">
        <v>251</v>
      </c>
    </row>
    <row r="7" spans="1:16" x14ac:dyDescent="0.2">
      <c r="A7" s="6" t="s">
        <v>252</v>
      </c>
      <c r="B7" s="147" t="s">
        <v>356</v>
      </c>
      <c r="C7" s="17"/>
      <c r="E7" s="139" t="s">
        <v>282</v>
      </c>
      <c r="F7" s="241">
        <v>18</v>
      </c>
      <c r="G7" s="1"/>
      <c r="P7" s="229" t="s">
        <v>251</v>
      </c>
    </row>
    <row r="8" spans="1:16" ht="14.25" customHeight="1" x14ac:dyDescent="0.2">
      <c r="A8" s="7"/>
      <c r="B8" t="s">
        <v>237</v>
      </c>
      <c r="C8" s="19"/>
      <c r="D8" s="19"/>
      <c r="M8" s="19"/>
      <c r="N8" s="19"/>
    </row>
    <row r="9" spans="1:16" x14ac:dyDescent="0.2">
      <c r="A9" s="7"/>
    </row>
    <row r="10" spans="1:16" x14ac:dyDescent="0.2">
      <c r="A10" s="7"/>
      <c r="B10" t="s">
        <v>134</v>
      </c>
      <c r="E10" s="2" t="s">
        <v>61</v>
      </c>
      <c r="F10" s="2" t="s">
        <v>62</v>
      </c>
      <c r="G10" s="2" t="s">
        <v>65</v>
      </c>
      <c r="H10" s="2" t="s">
        <v>203</v>
      </c>
      <c r="I10" s="2" t="s">
        <v>55</v>
      </c>
      <c r="M10" s="25"/>
      <c r="N10" s="25"/>
    </row>
    <row r="11" spans="1:16" x14ac:dyDescent="0.2">
      <c r="A11" s="7"/>
      <c r="B11" s="23" t="s">
        <v>17</v>
      </c>
      <c r="C11" s="121"/>
      <c r="D11" s="121"/>
      <c r="E11" s="121">
        <f>'BGS PTY23 Cost Alloc'!E265</f>
        <v>307.61909025505167</v>
      </c>
      <c r="F11" s="121"/>
      <c r="G11" s="121">
        <f>'BGS PTY23 Cost Alloc'!G265</f>
        <v>257207.69073125802</v>
      </c>
      <c r="H11" s="121"/>
      <c r="I11" s="121">
        <f>'BGS PTY23 Cost Alloc'!I265</f>
        <v>3742.3122114340281</v>
      </c>
      <c r="J11" s="121"/>
      <c r="K11" s="121"/>
      <c r="L11" s="121"/>
      <c r="M11" s="25"/>
      <c r="N11" s="25"/>
    </row>
    <row r="12" spans="1:16" x14ac:dyDescent="0.2">
      <c r="A12" s="7"/>
      <c r="B12" s="63" t="s">
        <v>72</v>
      </c>
      <c r="C12" s="121"/>
      <c r="D12" s="121"/>
      <c r="E12" s="121">
        <f>'BGS PTY23 Cost Alloc'!E266</f>
        <v>4414.4336545267961</v>
      </c>
      <c r="F12" s="121"/>
      <c r="G12" s="121"/>
      <c r="H12" s="121">
        <f>'BGS PTY23 Cost Alloc'!H266</f>
        <v>3842.5379258373077</v>
      </c>
      <c r="I12" s="121"/>
      <c r="J12" s="121"/>
      <c r="K12" s="121"/>
      <c r="L12" s="121"/>
      <c r="M12" s="25"/>
      <c r="N12" s="25"/>
    </row>
    <row r="13" spans="1:16" x14ac:dyDescent="0.2">
      <c r="A13" s="7"/>
      <c r="B13" s="63" t="s">
        <v>73</v>
      </c>
      <c r="C13" s="121"/>
      <c r="D13" s="121"/>
      <c r="E13" s="121">
        <f>'BGS PTY23 Cost Alloc'!E267</f>
        <v>3006.8259777786629</v>
      </c>
      <c r="F13" s="121"/>
      <c r="G13" s="121"/>
      <c r="H13" s="121">
        <f>'BGS PTY23 Cost Alloc'!H267</f>
        <v>2604.0216042013435</v>
      </c>
      <c r="I13" s="121"/>
      <c r="J13" s="121"/>
      <c r="K13" s="121"/>
      <c r="L13" s="121"/>
      <c r="M13" s="25"/>
      <c r="N13" s="25"/>
    </row>
    <row r="14" spans="1:16" x14ac:dyDescent="0.2">
      <c r="A14" s="7"/>
      <c r="B14" s="73" t="s">
        <v>142</v>
      </c>
      <c r="C14" s="121"/>
      <c r="D14" s="121"/>
      <c r="E14" s="121"/>
      <c r="F14" s="121">
        <f>'BGS PTY23 Cost Alloc'!F268</f>
        <v>265500.05000019609</v>
      </c>
      <c r="G14" s="121"/>
      <c r="H14" s="121"/>
      <c r="I14" s="121"/>
      <c r="J14" s="121"/>
      <c r="K14" s="121"/>
      <c r="L14" s="121"/>
      <c r="M14" s="25"/>
      <c r="N14" s="25"/>
    </row>
    <row r="15" spans="1:16" x14ac:dyDescent="0.2">
      <c r="A15" s="7"/>
      <c r="B15" s="73" t="s">
        <v>144</v>
      </c>
      <c r="C15" s="121"/>
      <c r="D15" s="121"/>
      <c r="E15" s="121"/>
      <c r="F15" s="121">
        <f>'BGS PTY23 Cost Alloc'!F269</f>
        <v>281051.73171137995</v>
      </c>
      <c r="G15" s="121"/>
      <c r="H15" s="121"/>
      <c r="I15" s="121"/>
      <c r="J15" s="121"/>
      <c r="K15" s="121"/>
      <c r="L15" s="121"/>
      <c r="M15" s="25"/>
      <c r="N15" s="25"/>
    </row>
    <row r="16" spans="1:16" x14ac:dyDescent="0.2">
      <c r="A16" s="7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25"/>
      <c r="N16" s="25"/>
    </row>
    <row r="17" spans="1:16" x14ac:dyDescent="0.2">
      <c r="A17" s="7"/>
      <c r="B17" s="23" t="s">
        <v>18</v>
      </c>
      <c r="C17" s="121"/>
      <c r="D17" s="121"/>
      <c r="E17" s="121">
        <f>'BGS PTY23 Cost Alloc'!E271</f>
        <v>700.46095823099176</v>
      </c>
      <c r="F17" s="121">
        <f>'BGS PTY23 Cost Alloc'!F271</f>
        <v>794462.25824587967</v>
      </c>
      <c r="G17" s="121">
        <f>'BGS PTY23 Cost Alloc'!G271</f>
        <v>432298.43862532696</v>
      </c>
      <c r="I17" s="121">
        <f>'BGS PTY23 Cost Alloc'!I271</f>
        <v>7250.919739093938</v>
      </c>
      <c r="J17" s="121"/>
      <c r="K17" s="121"/>
      <c r="L17" s="121"/>
      <c r="M17" s="25"/>
      <c r="N17" s="25"/>
    </row>
    <row r="18" spans="1:16" x14ac:dyDescent="0.2">
      <c r="A18" s="7"/>
      <c r="B18" s="63" t="s">
        <v>72</v>
      </c>
      <c r="C18" s="121"/>
      <c r="D18" s="121"/>
      <c r="E18" s="121">
        <f>'BGS PTY23 Cost Alloc'!E272</f>
        <v>6941.9161043171553</v>
      </c>
      <c r="F18" s="3"/>
      <c r="G18" s="3"/>
      <c r="H18" s="121">
        <f>'BGS PTY23 Cost Alloc'!H272</f>
        <v>6623.7981891803447</v>
      </c>
      <c r="I18" s="3"/>
      <c r="J18" s="121"/>
      <c r="K18" s="121"/>
      <c r="L18" s="121"/>
      <c r="M18" s="25"/>
      <c r="N18" s="25"/>
    </row>
    <row r="19" spans="1:16" x14ac:dyDescent="0.2">
      <c r="A19" s="7"/>
      <c r="B19" s="63" t="s">
        <v>73</v>
      </c>
      <c r="C19" s="3"/>
      <c r="D19" s="3"/>
      <c r="E19" s="121">
        <f>'BGS PTY23 Cost Alloc'!E273</f>
        <v>6537.009279941436</v>
      </c>
      <c r="H19" s="121">
        <f>'BGS PTY23 Cost Alloc'!H273</f>
        <v>5720.4828484323853</v>
      </c>
      <c r="J19" s="121"/>
      <c r="K19" s="121"/>
      <c r="L19" s="121"/>
      <c r="M19" s="25"/>
      <c r="N19" s="25"/>
    </row>
    <row r="20" spans="1:16" x14ac:dyDescent="0.2">
      <c r="A20" s="7"/>
      <c r="B20" s="5"/>
      <c r="M20" s="25"/>
      <c r="N20" s="25"/>
    </row>
    <row r="21" spans="1:16" x14ac:dyDescent="0.2">
      <c r="A21" s="7"/>
      <c r="B21" t="s">
        <v>135</v>
      </c>
      <c r="M21" s="25"/>
      <c r="N21" s="25"/>
    </row>
    <row r="22" spans="1:16" x14ac:dyDescent="0.2">
      <c r="A22" s="7"/>
      <c r="B22" s="5" t="s">
        <v>25</v>
      </c>
      <c r="E22" s="3">
        <f>SUM(E11:E15)</f>
        <v>7728.8787225605101</v>
      </c>
      <c r="F22" s="3">
        <f>SUM(F11:F15)</f>
        <v>546551.78171157604</v>
      </c>
      <c r="G22" s="3">
        <f>SUM(G11:G15)</f>
        <v>257207.69073125802</v>
      </c>
      <c r="H22" s="3">
        <f>SUM(H11:H15)</f>
        <v>6446.5595300386512</v>
      </c>
      <c r="I22" s="3">
        <f>SUM(I11:I15)</f>
        <v>3742.3122114340281</v>
      </c>
      <c r="J22" s="486">
        <f>SUM(E22:I22)</f>
        <v>821677.22290686716</v>
      </c>
      <c r="K22" s="486"/>
      <c r="L22" s="486"/>
      <c r="M22" s="26"/>
      <c r="N22" s="26"/>
    </row>
    <row r="23" spans="1:16" x14ac:dyDescent="0.2">
      <c r="A23" s="7"/>
      <c r="B23" s="5" t="s">
        <v>26</v>
      </c>
      <c r="E23" s="3">
        <f>SUM(E17:E19)</f>
        <v>14179.386342489583</v>
      </c>
      <c r="F23" s="3">
        <f>SUM(F17:F19)</f>
        <v>794462.25824587967</v>
      </c>
      <c r="G23" s="3">
        <f>SUM(G17:G19)</f>
        <v>432298.43862532696</v>
      </c>
      <c r="H23" s="3">
        <f>SUM(H17:H19)</f>
        <v>12344.281037612731</v>
      </c>
      <c r="I23" s="3">
        <f>SUM(I17:I19)</f>
        <v>7250.919739093938</v>
      </c>
      <c r="J23" s="486">
        <f>SUM(E23:I23)</f>
        <v>1260535.2839904029</v>
      </c>
      <c r="K23" s="486"/>
      <c r="L23" s="486"/>
      <c r="M23" s="26"/>
      <c r="N23" s="26"/>
    </row>
    <row r="24" spans="1:16" x14ac:dyDescent="0.2">
      <c r="A24" s="6"/>
      <c r="B24" s="5" t="s">
        <v>13</v>
      </c>
      <c r="E24" s="3">
        <f>SUM(E22:E23)</f>
        <v>21908.265065050095</v>
      </c>
      <c r="F24" s="3">
        <f>SUM(F22:F23)</f>
        <v>1341014.0399574558</v>
      </c>
      <c r="G24" s="3">
        <f>SUM(G22:G23)</f>
        <v>689506.12935658498</v>
      </c>
      <c r="H24" s="3">
        <f>SUM(H22:H23)</f>
        <v>18790.840567651383</v>
      </c>
      <c r="I24" s="3">
        <f>SUM(I22:I23)</f>
        <v>10993.231950527967</v>
      </c>
      <c r="J24" s="3">
        <f>SUM(E24:I24)</f>
        <v>2082212.5068972702</v>
      </c>
      <c r="K24" s="3"/>
      <c r="L24" s="3"/>
      <c r="M24" s="26"/>
      <c r="N24" s="26"/>
    </row>
    <row r="25" spans="1:16" x14ac:dyDescent="0.2">
      <c r="A25" s="7"/>
      <c r="B25" s="2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6" x14ac:dyDescent="0.2">
      <c r="A26" s="7"/>
      <c r="B26" s="2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6" x14ac:dyDescent="0.2">
      <c r="A27" s="7"/>
    </row>
    <row r="28" spans="1:16" x14ac:dyDescent="0.2">
      <c r="A28" s="6" t="s">
        <v>253</v>
      </c>
      <c r="B28" s="147" t="s">
        <v>369</v>
      </c>
      <c r="C28" s="17"/>
      <c r="E28" s="139" t="s">
        <v>282</v>
      </c>
      <c r="F28" s="241">
        <v>15</v>
      </c>
      <c r="G28" s="1" t="s">
        <v>251</v>
      </c>
      <c r="P28" s="229" t="s">
        <v>251</v>
      </c>
    </row>
    <row r="29" spans="1:16" x14ac:dyDescent="0.2">
      <c r="A29" s="7"/>
      <c r="B29" t="s">
        <v>237</v>
      </c>
      <c r="C29" s="19"/>
      <c r="D29" s="19"/>
    </row>
    <row r="30" spans="1:16" x14ac:dyDescent="0.2">
      <c r="A30" s="7"/>
    </row>
    <row r="31" spans="1:16" x14ac:dyDescent="0.2">
      <c r="A31" s="7"/>
      <c r="B31" t="s">
        <v>134</v>
      </c>
      <c r="E31" s="2" t="s">
        <v>61</v>
      </c>
      <c r="F31" s="2" t="s">
        <v>62</v>
      </c>
      <c r="G31" s="2" t="s">
        <v>65</v>
      </c>
      <c r="H31" s="2" t="s">
        <v>203</v>
      </c>
      <c r="I31" s="2" t="s">
        <v>55</v>
      </c>
    </row>
    <row r="32" spans="1:16" x14ac:dyDescent="0.2">
      <c r="A32" s="7"/>
      <c r="B32" s="23" t="s">
        <v>17</v>
      </c>
      <c r="C32" s="121"/>
      <c r="D32" s="121"/>
      <c r="E32" s="121">
        <f>'BGS PTY24 Cost Alloc'!E265</f>
        <v>297.36442179841134</v>
      </c>
      <c r="F32" s="121"/>
      <c r="G32" s="121">
        <f>'BGS PTY24 Cost Alloc'!G265</f>
        <v>247587.39835394165</v>
      </c>
      <c r="H32" s="121"/>
      <c r="I32" s="121">
        <f>'BGS PTY24 Cost Alloc'!I265</f>
        <v>3414.9569546145681</v>
      </c>
      <c r="J32" s="121"/>
      <c r="K32" s="121"/>
      <c r="L32" s="121"/>
    </row>
    <row r="33" spans="1:12" x14ac:dyDescent="0.2">
      <c r="A33" s="7"/>
      <c r="B33" s="63" t="s">
        <v>72</v>
      </c>
      <c r="C33" s="121"/>
      <c r="D33" s="121"/>
      <c r="E33" s="121">
        <f>'BGS PTY24 Cost Alloc'!E266</f>
        <v>4484.4789227715337</v>
      </c>
      <c r="F33" s="121"/>
      <c r="G33" s="121"/>
      <c r="H33" s="121">
        <f>'BGS PTY24 Cost Alloc'!H266</f>
        <v>3864.4560797749014</v>
      </c>
      <c r="I33" s="121"/>
      <c r="J33" s="121"/>
      <c r="K33" s="121"/>
      <c r="L33" s="121"/>
    </row>
    <row r="34" spans="1:12" x14ac:dyDescent="0.2">
      <c r="A34" s="7"/>
      <c r="B34" s="63" t="s">
        <v>73</v>
      </c>
      <c r="C34" s="121"/>
      <c r="D34" s="121"/>
      <c r="E34" s="121">
        <f>'BGS PTY24 Cost Alloc'!E267</f>
        <v>2689.4460683399911</v>
      </c>
      <c r="F34" s="121"/>
      <c r="G34" s="121"/>
      <c r="H34" s="121">
        <f>'BGS PTY24 Cost Alloc'!H267</f>
        <v>2332.5968085694581</v>
      </c>
      <c r="I34" s="121"/>
      <c r="J34" s="121"/>
      <c r="K34" s="121"/>
      <c r="L34" s="121"/>
    </row>
    <row r="35" spans="1:12" x14ac:dyDescent="0.2">
      <c r="A35" s="7"/>
      <c r="B35" s="73" t="s">
        <v>142</v>
      </c>
      <c r="C35" s="121"/>
      <c r="D35" s="121"/>
      <c r="E35" s="121"/>
      <c r="F35" s="121">
        <f>'BGS PTY24 Cost Alloc'!F268</f>
        <v>257568.76975585296</v>
      </c>
      <c r="G35" s="121"/>
      <c r="H35" s="121"/>
      <c r="I35" s="121"/>
      <c r="J35" s="121"/>
      <c r="K35" s="121"/>
      <c r="L35" s="121"/>
    </row>
    <row r="36" spans="1:12" x14ac:dyDescent="0.2">
      <c r="A36" s="7"/>
      <c r="B36" s="73" t="s">
        <v>144</v>
      </c>
      <c r="C36" s="121"/>
      <c r="D36" s="121"/>
      <c r="E36" s="121"/>
      <c r="F36" s="121">
        <f>'BGS PTY24 Cost Alloc'!F269</f>
        <v>273175.59345153772</v>
      </c>
      <c r="G36" s="121"/>
      <c r="H36" s="121"/>
      <c r="I36" s="121"/>
      <c r="J36" s="121"/>
      <c r="K36" s="121"/>
      <c r="L36" s="121"/>
    </row>
    <row r="37" spans="1:12" x14ac:dyDescent="0.2">
      <c r="A37" s="7"/>
      <c r="C37" s="121"/>
      <c r="D37" s="121"/>
      <c r="E37" s="121"/>
      <c r="F37" s="121"/>
      <c r="G37" s="121"/>
      <c r="H37" s="121"/>
      <c r="I37" s="121"/>
      <c r="J37" s="121"/>
      <c r="K37" s="121"/>
      <c r="L37" s="121"/>
    </row>
    <row r="38" spans="1:12" x14ac:dyDescent="0.2">
      <c r="A38" s="7"/>
      <c r="B38" s="23" t="s">
        <v>18</v>
      </c>
      <c r="C38" s="121"/>
      <c r="D38" s="121"/>
      <c r="E38" s="121">
        <f>'BGS PTY24 Cost Alloc'!E271</f>
        <v>674.14184730796194</v>
      </c>
      <c r="F38" s="121">
        <f>'BGS PTY24 Cost Alloc'!F271</f>
        <v>775087.03871480527</v>
      </c>
      <c r="G38" s="121">
        <f>'BGS PTY24 Cost Alloc'!G271</f>
        <v>413135.80902990559</v>
      </c>
      <c r="I38" s="121">
        <f>'BGS PTY24 Cost Alloc'!I271</f>
        <v>6663.093659035917</v>
      </c>
      <c r="J38" s="121"/>
      <c r="K38" s="121"/>
      <c r="L38" s="121"/>
    </row>
    <row r="39" spans="1:12" x14ac:dyDescent="0.2">
      <c r="A39" s="7"/>
      <c r="B39" s="63" t="s">
        <v>72</v>
      </c>
      <c r="C39" s="121"/>
      <c r="D39" s="121"/>
      <c r="E39" s="121">
        <f>'BGS PTY24 Cost Alloc'!E272</f>
        <v>6960.4231437944391</v>
      </c>
      <c r="F39" s="3"/>
      <c r="G39" s="3"/>
      <c r="H39" s="121">
        <f>'BGS PTY24 Cost Alloc'!H272</f>
        <v>6485.3667573898128</v>
      </c>
      <c r="I39" s="3"/>
      <c r="J39" s="121"/>
      <c r="K39" s="121"/>
      <c r="L39" s="121"/>
    </row>
    <row r="40" spans="1:12" x14ac:dyDescent="0.2">
      <c r="A40" s="7"/>
      <c r="B40" s="63" t="s">
        <v>73</v>
      </c>
      <c r="C40" s="3"/>
      <c r="D40" s="3"/>
      <c r="E40" s="121">
        <f>'BGS PTY24 Cost Alloc'!E273</f>
        <v>6011.8351571279663</v>
      </c>
      <c r="H40" s="121">
        <f>'BGS PTY24 Cost Alloc'!H273</f>
        <v>5225.1589544277813</v>
      </c>
      <c r="J40" s="121"/>
      <c r="K40" s="121"/>
      <c r="L40" s="121"/>
    </row>
    <row r="41" spans="1:12" x14ac:dyDescent="0.2">
      <c r="A41" s="7"/>
      <c r="B41" s="5"/>
    </row>
    <row r="42" spans="1:12" x14ac:dyDescent="0.2">
      <c r="A42" s="7"/>
      <c r="B42" t="s">
        <v>135</v>
      </c>
    </row>
    <row r="43" spans="1:12" x14ac:dyDescent="0.2">
      <c r="A43" s="7"/>
      <c r="B43" s="5" t="s">
        <v>25</v>
      </c>
      <c r="E43" s="3">
        <f>SUM(E32:E36)</f>
        <v>7471.2894129099359</v>
      </c>
      <c r="F43" s="3">
        <f>SUM(F32:F36)</f>
        <v>530744.36320739065</v>
      </c>
      <c r="G43" s="3">
        <f>SUM(G32:G36)</f>
        <v>247587.39835394165</v>
      </c>
      <c r="H43" s="3">
        <f>SUM(H32:H36)</f>
        <v>6197.0528883443594</v>
      </c>
      <c r="I43" s="3">
        <f>SUM(I32:I36)</f>
        <v>3414.9569546145681</v>
      </c>
      <c r="J43" s="486">
        <f>SUM(E43:I43)</f>
        <v>795415.06081720116</v>
      </c>
      <c r="K43" s="486"/>
      <c r="L43" s="486"/>
    </row>
    <row r="44" spans="1:12" x14ac:dyDescent="0.2">
      <c r="A44" s="7"/>
      <c r="B44" s="5" t="s">
        <v>26</v>
      </c>
      <c r="E44" s="3">
        <f>SUM(E38:E40)</f>
        <v>13646.400148230368</v>
      </c>
      <c r="F44" s="3">
        <f>SUM(F38:F40)</f>
        <v>775087.03871480527</v>
      </c>
      <c r="G44" s="3">
        <f>SUM(G38:G40)</f>
        <v>413135.80902990559</v>
      </c>
      <c r="H44" s="3">
        <f>SUM(H38:H40)</f>
        <v>11710.525711817594</v>
      </c>
      <c r="I44" s="3">
        <f>SUM(I38:I40)</f>
        <v>6663.093659035917</v>
      </c>
      <c r="J44" s="486">
        <f>SUM(E44:I44)</f>
        <v>1220242.8672637949</v>
      </c>
      <c r="K44" s="486"/>
      <c r="L44" s="486"/>
    </row>
    <row r="45" spans="1:12" x14ac:dyDescent="0.2">
      <c r="A45" s="6"/>
      <c r="B45" s="5" t="s">
        <v>13</v>
      </c>
      <c r="E45" s="3">
        <f>SUM(E43:E44)</f>
        <v>21117.689561140305</v>
      </c>
      <c r="F45" s="3">
        <f>SUM(F43:F44)</f>
        <v>1305831.4019221959</v>
      </c>
      <c r="G45" s="3">
        <f>SUM(G43:G44)</f>
        <v>660723.20738384721</v>
      </c>
      <c r="H45" s="3">
        <f>SUM(H43:H44)</f>
        <v>17907.578600161953</v>
      </c>
      <c r="I45" s="3">
        <f>SUM(I43:I44)</f>
        <v>10078.050613650485</v>
      </c>
      <c r="J45" s="3">
        <f>SUM(E45:I45)</f>
        <v>2015657.9280809958</v>
      </c>
      <c r="K45" s="3"/>
      <c r="L45" s="3"/>
    </row>
    <row r="46" spans="1:12" x14ac:dyDescent="0.2">
      <c r="A46" s="6"/>
      <c r="B46" s="5"/>
      <c r="E46" s="3"/>
      <c r="F46" s="3"/>
      <c r="G46" s="3"/>
      <c r="H46" s="3"/>
      <c r="I46" s="3"/>
      <c r="J46" s="3"/>
      <c r="K46" s="3"/>
      <c r="L46" s="3"/>
    </row>
    <row r="47" spans="1:12" x14ac:dyDescent="0.2">
      <c r="A47"/>
      <c r="B47" s="31" t="str">
        <f>'BGS PTY25 Cost Alloc'!B46</f>
        <v>{1} For BGS purposes the RT rate class includes the RS and GS rate class Off-Peak (OPWH) and Controlled Water Heating (CTWH) provisions.  The RT rate class also includes the</v>
      </c>
      <c r="E47" s="3"/>
      <c r="F47" s="3"/>
      <c r="G47" s="3"/>
      <c r="H47" s="3"/>
      <c r="I47" s="3"/>
      <c r="J47" s="3"/>
      <c r="K47" s="3"/>
      <c r="L47" s="3"/>
    </row>
    <row r="48" spans="1:12" x14ac:dyDescent="0.2">
      <c r="A48"/>
      <c r="B48" s="31" t="str">
        <f>'BGS PTY25 Cost Alloc'!B47</f>
        <v xml:space="preserve">  summer billing month RGT rate class usage.  OPWH and CTWH is billed on the average RT rates, while RT and Summer RGT use is billed at on-peak and off-peak rates.</v>
      </c>
      <c r="E48" s="3"/>
      <c r="F48" s="3"/>
      <c r="G48" s="3"/>
      <c r="H48" s="3"/>
      <c r="I48" s="3"/>
      <c r="J48" s="3"/>
      <c r="K48" s="3"/>
      <c r="L48" s="3"/>
    </row>
    <row r="49" spans="1:16" x14ac:dyDescent="0.2">
      <c r="A49"/>
      <c r="B49" s="31" t="str">
        <f>'BGS PTY25 Cost Alloc'!B48</f>
        <v xml:space="preserve">{2} For BGS purposes the RS rate class excludes the Off-Peak and Controlled Water Heating provisions and includes  </v>
      </c>
      <c r="E49" s="3"/>
      <c r="F49" s="3"/>
      <c r="G49" s="3"/>
      <c r="H49" s="3"/>
      <c r="I49" s="3"/>
      <c r="J49" s="3"/>
      <c r="K49" s="3"/>
      <c r="L49" s="3"/>
    </row>
    <row r="50" spans="1:16" x14ac:dyDescent="0.2">
      <c r="A50"/>
      <c r="B50" s="31" t="str">
        <f>'BGS PTY25 Cost Alloc'!B49</f>
        <v xml:space="preserve">     the winter billing month RGT rate class usage</v>
      </c>
      <c r="E50" s="3"/>
      <c r="F50" s="3"/>
      <c r="G50" s="3"/>
      <c r="H50" s="3"/>
      <c r="I50" s="3"/>
      <c r="J50" s="3"/>
      <c r="K50" s="3"/>
      <c r="L50" s="3"/>
    </row>
    <row r="51" spans="1:16" x14ac:dyDescent="0.2">
      <c r="A51"/>
      <c r="B51" s="31" t="str">
        <f>'BGS PTY25 Cost Alloc'!B50</f>
        <v>{3} For BGS purposes the GS rate class excludes the Off-Peak and Controlled Water Heating provisions</v>
      </c>
      <c r="E51" s="3"/>
      <c r="F51" s="3"/>
      <c r="G51" s="3"/>
      <c r="H51" s="3"/>
      <c r="I51" s="3"/>
      <c r="J51" s="3"/>
      <c r="K51" s="3"/>
      <c r="L51" s="3"/>
    </row>
    <row r="52" spans="1:16" x14ac:dyDescent="0.2">
      <c r="A52" s="31"/>
      <c r="B52" s="487" t="str">
        <f>'BGS PTY25 Cost Alloc'!B101</f>
        <v>{4} The GS and GST units exclude the units associated with the 500 kW and above PLS accounts that will be required to take service under BGS-CIEP</v>
      </c>
      <c r="E52" s="3"/>
      <c r="F52" s="3"/>
      <c r="G52" s="3"/>
      <c r="H52" s="3"/>
      <c r="I52" s="3"/>
      <c r="J52" s="3"/>
      <c r="K52" s="3"/>
      <c r="L52" s="3"/>
    </row>
    <row r="53" spans="1:16" x14ac:dyDescent="0.2">
      <c r="A53"/>
      <c r="B53" s="487" t="str">
        <f>'BGS PTY25 Cost Alloc'!B102</f>
        <v xml:space="preserve"> </v>
      </c>
    </row>
    <row r="54" spans="1:16" ht="15.75" x14ac:dyDescent="0.25">
      <c r="B54" s="504" t="s">
        <v>69</v>
      </c>
      <c r="C54" s="504"/>
      <c r="D54" s="504"/>
      <c r="E54" s="504"/>
      <c r="F54" s="504"/>
      <c r="G54" s="504"/>
      <c r="H54" s="504"/>
      <c r="I54" s="504"/>
      <c r="J54" s="504"/>
      <c r="K54" s="504"/>
      <c r="L54" s="504"/>
      <c r="M54" s="504"/>
      <c r="N54" s="504"/>
    </row>
    <row r="55" spans="1:16" ht="15.75" x14ac:dyDescent="0.25">
      <c r="B55" s="504" t="s">
        <v>187</v>
      </c>
      <c r="C55" s="504"/>
      <c r="D55" s="504"/>
      <c r="E55" s="504"/>
      <c r="F55" s="504"/>
      <c r="G55" s="504"/>
      <c r="H55" s="504"/>
      <c r="I55" s="504"/>
      <c r="J55" s="504"/>
      <c r="K55" s="504"/>
      <c r="L55" s="504"/>
      <c r="M55" s="504"/>
      <c r="N55" s="504"/>
    </row>
    <row r="56" spans="1:16" ht="15.75" x14ac:dyDescent="0.25">
      <c r="B56" s="504"/>
      <c r="C56" s="504"/>
      <c r="D56" s="504"/>
      <c r="E56" s="504"/>
      <c r="F56" s="504"/>
      <c r="G56" s="504"/>
      <c r="H56" s="504"/>
      <c r="I56" s="504"/>
      <c r="J56" s="504"/>
      <c r="K56" s="504"/>
      <c r="L56" s="504"/>
      <c r="M56" s="504"/>
      <c r="N56" s="504"/>
    </row>
    <row r="57" spans="1:16" x14ac:dyDescent="0.2">
      <c r="N57" s="102" t="s">
        <v>251</v>
      </c>
    </row>
    <row r="59" spans="1:16" x14ac:dyDescent="0.2">
      <c r="E59" s="15"/>
    </row>
    <row r="60" spans="1:16" x14ac:dyDescent="0.2">
      <c r="A60" s="6" t="s">
        <v>254</v>
      </c>
      <c r="B60" s="147" t="s">
        <v>380</v>
      </c>
      <c r="C60" s="17"/>
      <c r="E60" s="139" t="s">
        <v>282</v>
      </c>
      <c r="F60" s="241">
        <v>20</v>
      </c>
      <c r="G60" s="257" t="s">
        <v>251</v>
      </c>
      <c r="P60" s="229" t="s">
        <v>251</v>
      </c>
    </row>
    <row r="61" spans="1:16" x14ac:dyDescent="0.2">
      <c r="A61" s="7"/>
      <c r="B61" t="s">
        <v>237</v>
      </c>
      <c r="C61" s="19"/>
      <c r="D61" s="19"/>
    </row>
    <row r="62" spans="1:16" x14ac:dyDescent="0.2">
      <c r="A62" s="7"/>
    </row>
    <row r="63" spans="1:16" x14ac:dyDescent="0.2">
      <c r="A63" s="7"/>
      <c r="B63" t="s">
        <v>134</v>
      </c>
      <c r="E63" s="2" t="s">
        <v>61</v>
      </c>
      <c r="F63" s="2" t="s">
        <v>62</v>
      </c>
      <c r="G63" s="2" t="s">
        <v>65</v>
      </c>
      <c r="H63" s="2" t="s">
        <v>203</v>
      </c>
      <c r="I63" s="2" t="s">
        <v>55</v>
      </c>
    </row>
    <row r="64" spans="1:16" x14ac:dyDescent="0.2">
      <c r="A64" s="7"/>
      <c r="B64" s="23" t="s">
        <v>17</v>
      </c>
      <c r="C64" s="121"/>
      <c r="D64" s="121"/>
      <c r="E64" s="121">
        <f>'BGS PTY25 Cost Alloc'!E257</f>
        <v>247.09338428389697</v>
      </c>
      <c r="F64" s="121"/>
      <c r="G64" s="121">
        <f>'BGS PTY25 Cost Alloc'!G257</f>
        <v>204147.2198324544</v>
      </c>
      <c r="H64" s="121"/>
      <c r="I64" s="121">
        <f>'BGS PTY25 Cost Alloc'!I257</f>
        <v>2710.5825427585646</v>
      </c>
      <c r="J64" s="121"/>
      <c r="K64" s="121"/>
      <c r="L64" s="121"/>
    </row>
    <row r="65" spans="1:12" x14ac:dyDescent="0.2">
      <c r="A65" s="7"/>
      <c r="B65" s="63" t="s">
        <v>72</v>
      </c>
      <c r="C65" s="121"/>
      <c r="D65" s="121"/>
      <c r="E65" s="121">
        <f>'BGS PTY25 Cost Alloc'!E258</f>
        <v>3838.7642143245944</v>
      </c>
      <c r="F65" s="121"/>
      <c r="G65" s="121"/>
      <c r="H65" s="121">
        <f>'BGS PTY25 Cost Alloc'!H258</f>
        <v>3236.9782487433313</v>
      </c>
      <c r="I65" s="121"/>
      <c r="J65" s="121"/>
      <c r="K65" s="121"/>
      <c r="L65" s="121"/>
    </row>
    <row r="66" spans="1:12" x14ac:dyDescent="0.2">
      <c r="A66" s="7"/>
      <c r="B66" s="63" t="s">
        <v>73</v>
      </c>
      <c r="C66" s="121"/>
      <c r="D66" s="121"/>
      <c r="E66" s="121">
        <f>'BGS PTY25 Cost Alloc'!E259</f>
        <v>2122.4004055191399</v>
      </c>
      <c r="F66" s="121"/>
      <c r="G66" s="121"/>
      <c r="H66" s="121">
        <f>'BGS PTY25 Cost Alloc'!H259</f>
        <v>1839.3787738706856</v>
      </c>
      <c r="I66" s="121"/>
      <c r="J66" s="121"/>
      <c r="K66" s="121"/>
      <c r="L66" s="121"/>
    </row>
    <row r="67" spans="1:12" x14ac:dyDescent="0.2">
      <c r="A67" s="7"/>
      <c r="B67" s="73" t="s">
        <v>142</v>
      </c>
      <c r="C67" s="121"/>
      <c r="D67" s="121"/>
      <c r="E67" s="121"/>
      <c r="F67" s="121">
        <f>'BGS PTY25 Cost Alloc'!F260</f>
        <v>213832.98620690478</v>
      </c>
      <c r="G67" s="121"/>
      <c r="H67" s="121"/>
      <c r="I67" s="121"/>
      <c r="J67" s="121"/>
      <c r="K67" s="121"/>
      <c r="L67" s="121"/>
    </row>
    <row r="68" spans="1:12" x14ac:dyDescent="0.2">
      <c r="A68" s="7"/>
      <c r="B68" s="73" t="s">
        <v>144</v>
      </c>
      <c r="C68" s="121"/>
      <c r="D68" s="121"/>
      <c r="E68" s="121"/>
      <c r="F68" s="121">
        <f>'BGS PTY25 Cost Alloc'!F261</f>
        <v>229743.88160656294</v>
      </c>
      <c r="G68" s="121"/>
      <c r="H68" s="121"/>
      <c r="I68" s="121"/>
      <c r="J68" s="121"/>
      <c r="K68" s="121"/>
      <c r="L68" s="121"/>
    </row>
    <row r="69" spans="1:12" x14ac:dyDescent="0.2">
      <c r="A69" s="7"/>
      <c r="C69" s="121"/>
      <c r="D69" s="121"/>
      <c r="E69" s="121"/>
      <c r="F69" s="121"/>
      <c r="G69" s="121"/>
      <c r="H69" s="121"/>
      <c r="I69" s="121"/>
      <c r="J69" s="121"/>
      <c r="K69" s="121"/>
      <c r="L69" s="121"/>
    </row>
    <row r="70" spans="1:12" x14ac:dyDescent="0.2">
      <c r="A70" s="7"/>
      <c r="B70" s="23" t="s">
        <v>18</v>
      </c>
      <c r="C70" s="121"/>
      <c r="D70" s="121"/>
      <c r="E70" s="121">
        <f>'BGS PTY25 Cost Alloc'!E263</f>
        <v>648.22669499466224</v>
      </c>
      <c r="F70" s="121">
        <f>'BGS PTY25 Cost Alloc'!F263</f>
        <v>744408.77459441021</v>
      </c>
      <c r="G70" s="121">
        <f>'BGS PTY25 Cost Alloc'!G263</f>
        <v>398445.48464113125</v>
      </c>
      <c r="I70" s="121">
        <f>'BGS PTY25 Cost Alloc'!I263</f>
        <v>6417.3406950122471</v>
      </c>
      <c r="J70" s="121"/>
      <c r="K70" s="121"/>
      <c r="L70" s="121"/>
    </row>
    <row r="71" spans="1:12" x14ac:dyDescent="0.2">
      <c r="A71" s="7"/>
      <c r="B71" s="63" t="s">
        <v>72</v>
      </c>
      <c r="C71" s="121"/>
      <c r="D71" s="121"/>
      <c r="E71" s="121">
        <f>'BGS PTY25 Cost Alloc'!E264</f>
        <v>6958.6487608865928</v>
      </c>
      <c r="F71" s="3"/>
      <c r="G71" s="3"/>
      <c r="H71" s="121">
        <f>'BGS PTY25 Cost Alloc'!H264</f>
        <v>6320.698628514926</v>
      </c>
      <c r="I71" s="3"/>
      <c r="J71" s="121"/>
      <c r="K71" s="121"/>
      <c r="L71" s="121"/>
    </row>
    <row r="72" spans="1:12" x14ac:dyDescent="0.2">
      <c r="A72" s="7"/>
      <c r="B72" s="63" t="s">
        <v>73</v>
      </c>
      <c r="C72" s="3"/>
      <c r="D72" s="3"/>
      <c r="E72" s="121">
        <f>'BGS PTY25 Cost Alloc'!E265</f>
        <v>5514.7282770417787</v>
      </c>
      <c r="H72" s="121">
        <f>'BGS PTY25 Cost Alloc'!H265</f>
        <v>4990.8379461815421</v>
      </c>
      <c r="J72" s="121"/>
      <c r="K72" s="121"/>
      <c r="L72" s="121"/>
    </row>
    <row r="73" spans="1:12" x14ac:dyDescent="0.2">
      <c r="A73" s="7"/>
      <c r="B73" s="5"/>
    </row>
    <row r="74" spans="1:12" x14ac:dyDescent="0.2">
      <c r="A74" s="7"/>
      <c r="B74" t="s">
        <v>135</v>
      </c>
    </row>
    <row r="75" spans="1:12" x14ac:dyDescent="0.2">
      <c r="A75" s="7"/>
      <c r="B75" s="5" t="s">
        <v>25</v>
      </c>
      <c r="E75" s="3">
        <f>SUM(E64:E68)</f>
        <v>6208.2580041276315</v>
      </c>
      <c r="F75" s="3">
        <f>SUM(F64:F68)</f>
        <v>443576.86781346775</v>
      </c>
      <c r="G75" s="3">
        <f>SUM(G64:G68)</f>
        <v>204147.2198324544</v>
      </c>
      <c r="H75" s="3">
        <f>SUM(H64:H68)</f>
        <v>5076.3570226140164</v>
      </c>
      <c r="I75" s="3">
        <f>SUM(I64:I68)</f>
        <v>2710.5825427585646</v>
      </c>
      <c r="J75" s="486">
        <f>SUM(E75:I75)</f>
        <v>661719.28521542239</v>
      </c>
      <c r="K75" s="486"/>
      <c r="L75" s="486"/>
    </row>
    <row r="76" spans="1:12" x14ac:dyDescent="0.2">
      <c r="A76" s="7"/>
      <c r="B76" s="5" t="s">
        <v>26</v>
      </c>
      <c r="E76" s="3">
        <f>SUM(E70:E72)</f>
        <v>13121.603732923035</v>
      </c>
      <c r="F76" s="3">
        <f>SUM(F70:F72)</f>
        <v>744408.77459441021</v>
      </c>
      <c r="G76" s="3">
        <f>SUM(G70:G72)</f>
        <v>398445.48464113125</v>
      </c>
      <c r="H76" s="3">
        <f>SUM(H70:H72)</f>
        <v>11311.536574696467</v>
      </c>
      <c r="I76" s="3">
        <f>SUM(I70:I72)</f>
        <v>6417.3406950122471</v>
      </c>
      <c r="J76" s="486">
        <f>SUM(E76:I76)</f>
        <v>1173704.7402381732</v>
      </c>
      <c r="K76" s="486"/>
      <c r="L76" s="486"/>
    </row>
    <row r="77" spans="1:12" x14ac:dyDescent="0.2">
      <c r="A77" s="6"/>
      <c r="B77" s="5" t="s">
        <v>13</v>
      </c>
      <c r="E77" s="3">
        <f>SUM(E75:E76)</f>
        <v>19329.861737050665</v>
      </c>
      <c r="F77" s="3">
        <f>SUM(F75:F76)</f>
        <v>1187985.6424078778</v>
      </c>
      <c r="G77" s="3">
        <f>SUM(G75:G76)</f>
        <v>602592.70447358559</v>
      </c>
      <c r="H77" s="3">
        <f>SUM(H75:H76)</f>
        <v>16387.893597310482</v>
      </c>
      <c r="I77" s="3">
        <f>SUM(I75:I76)</f>
        <v>9127.9232377708122</v>
      </c>
      <c r="J77" s="3">
        <f>SUM(E77:I77)</f>
        <v>1835424.0254535952</v>
      </c>
      <c r="K77" s="3"/>
      <c r="L77" s="3"/>
    </row>
    <row r="81" spans="1:30" x14ac:dyDescent="0.2">
      <c r="A81" s="6" t="s">
        <v>255</v>
      </c>
      <c r="B81" s="1" t="s">
        <v>344</v>
      </c>
      <c r="C81" s="17"/>
      <c r="E81" s="15"/>
    </row>
    <row r="82" spans="1:30" x14ac:dyDescent="0.2">
      <c r="A82" s="7"/>
      <c r="B82" t="s">
        <v>237</v>
      </c>
      <c r="C82" s="19"/>
      <c r="D82" s="19"/>
    </row>
    <row r="83" spans="1:30" x14ac:dyDescent="0.2">
      <c r="A83" s="7"/>
    </row>
    <row r="84" spans="1:30" x14ac:dyDescent="0.2">
      <c r="A84" s="7"/>
      <c r="B84" t="s">
        <v>134</v>
      </c>
      <c r="E84" s="2" t="s">
        <v>61</v>
      </c>
      <c r="F84" s="2" t="s">
        <v>62</v>
      </c>
      <c r="G84" s="2" t="s">
        <v>65</v>
      </c>
      <c r="H84" s="2" t="s">
        <v>203</v>
      </c>
      <c r="I84" s="2" t="s">
        <v>55</v>
      </c>
    </row>
    <row r="85" spans="1:30" x14ac:dyDescent="0.2">
      <c r="A85" s="7"/>
      <c r="B85" s="23" t="s">
        <v>17</v>
      </c>
      <c r="C85" s="121"/>
      <c r="D85" s="121"/>
      <c r="E85" s="121">
        <f>(E11*$F$7+E32*$F$28+E64*$F$60)/($F$7+$F$28+$F$60)</f>
        <v>281.87693655179322</v>
      </c>
      <c r="F85" s="121"/>
      <c r="G85" s="121">
        <f>(G11*$F$7+G32*$F$28+G64*$F$60)/($F$7+$F$28+$F$60)</f>
        <v>234462.14726643125</v>
      </c>
      <c r="H85" s="121"/>
      <c r="I85" s="121">
        <f>(I11*$F$7+I32*$F$28+I64*$F$60)/($F$7+$F$28+$F$60)</f>
        <v>3260.3325467962704</v>
      </c>
      <c r="J85" s="121"/>
      <c r="K85" s="121"/>
      <c r="L85" s="121"/>
    </row>
    <row r="86" spans="1:30" x14ac:dyDescent="0.2">
      <c r="A86" s="7"/>
      <c r="B86" s="63" t="s">
        <v>72</v>
      </c>
      <c r="C86" s="121"/>
      <c r="D86" s="121"/>
      <c r="E86" s="121">
        <f>(E12*$F$7+E33*$F$28+E65*$F$60)/($F$7+$F$28+$F$60)</f>
        <v>4217.0240360291928</v>
      </c>
      <c r="F86" s="121"/>
      <c r="G86" s="121"/>
      <c r="H86" s="121">
        <f>(H12*$F$7+H33*$F$28+H65*$F$60)/($F$7+$F$28+$F$60)</f>
        <v>3620.2280912558808</v>
      </c>
      <c r="I86" s="121"/>
      <c r="J86" s="121"/>
      <c r="K86" s="121"/>
      <c r="L86" s="121"/>
    </row>
    <row r="87" spans="1:30" x14ac:dyDescent="0.2">
      <c r="A87" s="7"/>
      <c r="B87" s="63" t="s">
        <v>73</v>
      </c>
      <c r="C87" s="121"/>
      <c r="D87" s="121"/>
      <c r="E87" s="121">
        <f>(E13*$F$7+E34*$F$28+E66*$F$60)/($F$7+$F$28+$F$60)</f>
        <v>2583.2559761414832</v>
      </c>
      <c r="F87" s="121"/>
      <c r="G87" s="121"/>
      <c r="H87" s="121">
        <f>(H13*$F$7+H34*$F$28+H66*$F$60)/($F$7+$F$28+$F$60)</f>
        <v>2238.6588015392408</v>
      </c>
      <c r="I87" s="121"/>
      <c r="J87" s="121"/>
      <c r="K87" s="121"/>
      <c r="L87" s="121"/>
      <c r="Q87" s="2"/>
      <c r="R87" s="2"/>
      <c r="S87" s="2"/>
      <c r="V87" s="2"/>
      <c r="W87" s="2"/>
      <c r="X87" s="2"/>
      <c r="AA87" s="2"/>
      <c r="AB87" s="2"/>
      <c r="AC87" s="2"/>
    </row>
    <row r="88" spans="1:30" x14ac:dyDescent="0.2">
      <c r="A88" s="7"/>
      <c r="B88" s="73" t="s">
        <v>142</v>
      </c>
      <c r="C88" s="121"/>
      <c r="D88" s="121"/>
      <c r="E88" s="121"/>
      <c r="F88" s="121">
        <f>(F14*$F$7+F35*$F$28+F67*$F$60)/($F$7+$F$28+$F$60)</f>
        <v>243758.34283923436</v>
      </c>
      <c r="G88" s="121"/>
      <c r="H88" s="121"/>
      <c r="I88" s="121"/>
      <c r="J88" s="121"/>
      <c r="K88" s="121"/>
      <c r="L88" s="121"/>
      <c r="V88" s="100"/>
      <c r="W88" s="100"/>
      <c r="X88" s="100"/>
      <c r="AA88" s="100"/>
      <c r="AB88" s="100"/>
      <c r="AC88" s="100"/>
    </row>
    <row r="89" spans="1:30" x14ac:dyDescent="0.2">
      <c r="A89" s="7"/>
      <c r="B89" s="73" t="s">
        <v>144</v>
      </c>
      <c r="C89" s="121"/>
      <c r="D89" s="121"/>
      <c r="E89" s="121"/>
      <c r="F89" s="121">
        <f>(F15*$F$7+F36*$F$28+F68*$F$60)/($F$7+$F$28+$F$60)</f>
        <v>259461.18310772008</v>
      </c>
      <c r="G89" s="121"/>
      <c r="H89" s="121"/>
      <c r="I89" s="121"/>
      <c r="J89" s="121"/>
      <c r="K89" s="121"/>
      <c r="L89" s="121"/>
      <c r="O89" s="1"/>
    </row>
    <row r="90" spans="1:30" x14ac:dyDescent="0.2">
      <c r="A90" s="7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O90" s="77"/>
      <c r="Q90" s="311"/>
      <c r="R90" s="311"/>
      <c r="S90" s="311"/>
      <c r="T90" s="311"/>
    </row>
    <row r="91" spans="1:30" x14ac:dyDescent="0.2">
      <c r="A91" s="7"/>
      <c r="B91" s="23" t="s">
        <v>18</v>
      </c>
      <c r="C91" s="121"/>
      <c r="D91" s="121"/>
      <c r="E91" s="121">
        <f>(E17*$F$7+E38*$F$28+E70*$F$60)/($F$7+$F$28+$F$60)</f>
        <v>673.30111052208542</v>
      </c>
      <c r="F91" s="121">
        <f>(F17*$F$7+F38*$F$28+F70*$F$60)/($F$7+$F$28+$F$60)</f>
        <v>770090.59851011541</v>
      </c>
      <c r="G91" s="121">
        <f>(G17*$F$7+G38*$F$28+G70*$F$60)/($F$7+$F$28+$F$60)</f>
        <v>414100.35327409609</v>
      </c>
      <c r="I91" s="121">
        <f>(I17*$F$7+I38*$F$28+I70*$F$60)/($F$7+$F$28+$F$60)</f>
        <v>6769.995737537256</v>
      </c>
      <c r="J91" s="121"/>
      <c r="K91" s="121"/>
      <c r="L91" s="121"/>
      <c r="O91" s="77"/>
      <c r="Q91" s="311"/>
      <c r="R91" s="311"/>
      <c r="S91" s="311"/>
      <c r="T91" s="311"/>
      <c r="V91" s="1"/>
      <c r="AA91" s="1"/>
    </row>
    <row r="92" spans="1:30" x14ac:dyDescent="0.2">
      <c r="A92" s="7"/>
      <c r="B92" s="63" t="s">
        <v>72</v>
      </c>
      <c r="C92" s="121"/>
      <c r="D92" s="121"/>
      <c r="E92" s="121">
        <f>(E18*$F$7+E39*$F$28+E71*$F$60)/($F$7+$F$28+$F$60)</f>
        <v>6953.4681557048534</v>
      </c>
      <c r="F92" s="3"/>
      <c r="G92" s="3"/>
      <c r="H92" s="121">
        <f>(H18*$F$7+H39*$F$28+H71*$F$60)/($F$7+$F$28+$F$60)</f>
        <v>6470.242289365885</v>
      </c>
      <c r="I92" s="3"/>
      <c r="J92" s="121"/>
      <c r="K92" s="121"/>
      <c r="L92" s="121"/>
      <c r="Q92" s="2"/>
      <c r="R92" s="2"/>
      <c r="S92" s="2"/>
      <c r="V92" s="2"/>
      <c r="W92" s="2"/>
      <c r="X92" s="2"/>
      <c r="AA92" s="2"/>
      <c r="AB92" s="2"/>
      <c r="AC92" s="2"/>
    </row>
    <row r="93" spans="1:30" x14ac:dyDescent="0.2">
      <c r="A93" s="7"/>
      <c r="B93" s="63" t="s">
        <v>73</v>
      </c>
      <c r="C93" s="3"/>
      <c r="D93" s="3"/>
      <c r="E93" s="121">
        <f>(E19*$F$7+E40*$F$28+E72*$F$60)/($F$7+$F$28+$F$60)</f>
        <v>6002.6086780509604</v>
      </c>
      <c r="H93" s="121">
        <f>(H19*$F$7+H40*$F$28+H72*$F$60)/($F$7+$F$28+$F$60)</f>
        <v>5304.9591417326501</v>
      </c>
      <c r="J93" s="121"/>
      <c r="K93" s="121"/>
      <c r="L93" s="121"/>
      <c r="P93" s="289"/>
      <c r="Q93" s="4"/>
      <c r="R93" s="4"/>
      <c r="S93" s="4"/>
      <c r="V93" s="309"/>
      <c r="W93" s="309"/>
      <c r="X93" s="309"/>
      <c r="Y93" s="310"/>
      <c r="AA93" s="488"/>
      <c r="AB93" s="488"/>
      <c r="AC93" s="488"/>
      <c r="AD93" s="310"/>
    </row>
    <row r="94" spans="1:30" x14ac:dyDescent="0.2">
      <c r="A94" s="7"/>
      <c r="B94" s="5"/>
      <c r="T94" s="4"/>
      <c r="X94" s="489"/>
      <c r="Y94" s="489"/>
      <c r="AD94" s="489"/>
    </row>
    <row r="95" spans="1:30" x14ac:dyDescent="0.2">
      <c r="A95" s="7"/>
      <c r="B95" t="s">
        <v>135</v>
      </c>
      <c r="P95" s="490" t="s">
        <v>304</v>
      </c>
      <c r="R95" s="77"/>
      <c r="T95" s="311"/>
    </row>
    <row r="96" spans="1:30" x14ac:dyDescent="0.2">
      <c r="A96" s="7"/>
      <c r="B96" s="5" t="s">
        <v>25</v>
      </c>
      <c r="E96" s="3">
        <f>SUM(E85:E89)</f>
        <v>7082.1569487224688</v>
      </c>
      <c r="F96" s="3">
        <f>SUM(F85:F89)</f>
        <v>503219.52594695444</v>
      </c>
      <c r="G96" s="3">
        <f>SUM(G85:G89)</f>
        <v>234462.14726643125</v>
      </c>
      <c r="H96" s="3">
        <f>SUM(H85:H89)</f>
        <v>5858.8868927951216</v>
      </c>
      <c r="I96" s="3">
        <f>SUM(I85:I89)</f>
        <v>3260.3325467962704</v>
      </c>
      <c r="J96" s="486">
        <f>SUM(E96:I96)</f>
        <v>753883.04960169957</v>
      </c>
      <c r="K96" s="486"/>
      <c r="L96" s="486"/>
      <c r="P96" s="490"/>
      <c r="R96" s="77"/>
      <c r="T96" s="311"/>
      <c r="U96" s="490"/>
      <c r="Z96" s="490"/>
    </row>
    <row r="97" spans="1:30" x14ac:dyDescent="0.2">
      <c r="A97" s="7"/>
      <c r="B97" s="5" t="s">
        <v>26</v>
      </c>
      <c r="E97" s="3">
        <f>SUM(E91:E93)</f>
        <v>13629.3779442779</v>
      </c>
      <c r="F97" s="3">
        <f>SUM(F91:F93)</f>
        <v>770090.59851011541</v>
      </c>
      <c r="G97" s="3">
        <f>SUM(G91:G93)</f>
        <v>414100.35327409609</v>
      </c>
      <c r="H97" s="3">
        <f>SUM(H91:H93)</f>
        <v>11775.201431098536</v>
      </c>
      <c r="I97" s="3">
        <f>SUM(I91:I93)</f>
        <v>6769.995737537256</v>
      </c>
      <c r="J97" s="486">
        <f>SUM(E97:I97)</f>
        <v>1216365.5268971254</v>
      </c>
      <c r="K97" s="486"/>
      <c r="L97" s="486"/>
      <c r="P97" s="257"/>
      <c r="Q97" s="227"/>
      <c r="R97" s="227"/>
      <c r="S97" s="227"/>
      <c r="U97" s="257"/>
      <c r="V97" s="311"/>
      <c r="W97" s="311"/>
      <c r="X97" s="311"/>
      <c r="Z97" s="257"/>
      <c r="AA97" s="311"/>
      <c r="AB97" s="311"/>
      <c r="AC97" s="311"/>
    </row>
    <row r="98" spans="1:30" x14ac:dyDescent="0.2">
      <c r="A98" s="6"/>
      <c r="B98" s="5" t="s">
        <v>13</v>
      </c>
      <c r="E98" s="3">
        <f>SUM(E96:E97)</f>
        <v>20711.534893000367</v>
      </c>
      <c r="F98" s="3">
        <f>SUM(F96:F97)</f>
        <v>1273310.1244570699</v>
      </c>
      <c r="G98" s="3">
        <f>SUM(G96:G97)</f>
        <v>648562.50054052728</v>
      </c>
      <c r="H98" s="3">
        <f>SUM(H96:H97)</f>
        <v>17634.088323893659</v>
      </c>
      <c r="I98" s="3">
        <f>SUM(I96:I97)</f>
        <v>10030.328284333526</v>
      </c>
      <c r="J98" s="3">
        <f>SUM(E98:I98)</f>
        <v>1970248.5764988246</v>
      </c>
      <c r="K98" s="3"/>
      <c r="L98" s="3"/>
      <c r="P98" s="257"/>
      <c r="Q98" s="311"/>
      <c r="R98" s="311"/>
      <c r="S98" s="311"/>
      <c r="U98" s="257"/>
      <c r="V98" s="311"/>
      <c r="W98" s="311"/>
      <c r="X98" s="311"/>
      <c r="Z98" s="257"/>
      <c r="AA98" s="311"/>
      <c r="AB98" s="311"/>
      <c r="AC98" s="311"/>
    </row>
    <row r="99" spans="1:30" x14ac:dyDescent="0.2">
      <c r="B99" s="491"/>
      <c r="U99" s="16"/>
      <c r="Z99" s="16"/>
    </row>
    <row r="100" spans="1:30" ht="15.75" x14ac:dyDescent="0.25">
      <c r="B100" s="504" t="s">
        <v>69</v>
      </c>
      <c r="C100" s="504"/>
      <c r="D100" s="504"/>
      <c r="E100" s="504"/>
      <c r="F100" s="504"/>
      <c r="G100" s="504"/>
      <c r="H100" s="504"/>
      <c r="I100" s="504"/>
      <c r="J100" s="504"/>
      <c r="K100" s="504"/>
      <c r="L100" s="504"/>
      <c r="M100" s="504"/>
      <c r="N100" s="504"/>
      <c r="P100" s="257"/>
      <c r="Q100" s="2"/>
      <c r="R100" s="2"/>
      <c r="S100" s="2"/>
      <c r="U100" s="2"/>
      <c r="V100" s="2"/>
      <c r="W100" s="2"/>
      <c r="X100" s="2"/>
      <c r="Z100" s="2"/>
      <c r="AA100" s="2"/>
      <c r="AB100" s="2"/>
      <c r="AC100" s="2"/>
    </row>
    <row r="101" spans="1:30" ht="15.75" x14ac:dyDescent="0.25">
      <c r="B101" s="504" t="s">
        <v>187</v>
      </c>
      <c r="C101" s="504"/>
      <c r="D101" s="504"/>
      <c r="E101" s="504"/>
      <c r="F101" s="504"/>
      <c r="G101" s="504"/>
      <c r="H101" s="504"/>
      <c r="I101" s="504"/>
      <c r="J101" s="504"/>
      <c r="K101" s="504"/>
      <c r="L101" s="504"/>
      <c r="M101" s="504"/>
      <c r="N101" s="504"/>
      <c r="P101" s="289"/>
      <c r="Q101" s="459"/>
      <c r="R101" s="459"/>
      <c r="S101" s="459"/>
      <c r="T101" s="454"/>
      <c r="U101" s="315"/>
      <c r="V101" s="455"/>
      <c r="W101" s="455"/>
      <c r="X101" s="455"/>
      <c r="Y101" s="454"/>
      <c r="Z101" s="315"/>
      <c r="AA101" s="455"/>
      <c r="AB101" s="455"/>
      <c r="AC101" s="455"/>
      <c r="AD101" s="454"/>
    </row>
    <row r="102" spans="1:30" ht="15.75" hidden="1" x14ac:dyDescent="0.25">
      <c r="B102" s="504"/>
      <c r="C102" s="504"/>
      <c r="D102" s="504"/>
      <c r="E102" s="504"/>
      <c r="F102" s="504"/>
      <c r="G102" s="504"/>
      <c r="H102" s="504"/>
      <c r="I102" s="504"/>
      <c r="J102" s="504"/>
      <c r="K102" s="504"/>
      <c r="L102" s="504"/>
      <c r="M102" s="504"/>
      <c r="N102" s="504"/>
      <c r="P102" s="289"/>
      <c r="Q102" s="459"/>
      <c r="R102" s="459"/>
      <c r="S102" s="459"/>
      <c r="T102" s="454"/>
      <c r="U102" s="315"/>
      <c r="V102" s="455"/>
      <c r="W102" s="455"/>
      <c r="X102" s="455"/>
      <c r="Y102" s="454"/>
      <c r="Z102" s="315"/>
      <c r="AA102" s="455"/>
      <c r="AB102" s="455"/>
      <c r="AC102" s="455"/>
      <c r="AD102" s="454"/>
    </row>
    <row r="103" spans="1:30" hidden="1" x14ac:dyDescent="0.2">
      <c r="N103" s="102"/>
    </row>
    <row r="104" spans="1:30" hidden="1" x14ac:dyDescent="0.2">
      <c r="P104" s="289"/>
      <c r="Q104" s="311"/>
      <c r="R104" s="311"/>
      <c r="S104" s="311"/>
      <c r="T104" s="311"/>
      <c r="V104" s="312"/>
      <c r="W104" s="312"/>
      <c r="X104" s="312"/>
      <c r="AA104" s="312"/>
      <c r="AB104" s="312"/>
      <c r="AC104" s="312"/>
    </row>
    <row r="105" spans="1:30" x14ac:dyDescent="0.2">
      <c r="E105" s="15"/>
      <c r="O105" s="16"/>
      <c r="P105" s="1"/>
      <c r="Q105" s="317"/>
      <c r="R105" s="317"/>
      <c r="S105" s="317"/>
    </row>
    <row r="106" spans="1:30" x14ac:dyDescent="0.2">
      <c r="A106" s="6" t="s">
        <v>256</v>
      </c>
      <c r="B106" s="1" t="s">
        <v>238</v>
      </c>
      <c r="C106" s="17"/>
      <c r="E106" s="139"/>
      <c r="F106" s="8"/>
      <c r="P106" s="289"/>
      <c r="Q106" s="314"/>
      <c r="R106" s="314"/>
      <c r="S106" s="314"/>
      <c r="T106" s="306"/>
      <c r="V106" s="405"/>
      <c r="W106" s="405"/>
      <c r="X106" s="405"/>
      <c r="Y106" s="460"/>
      <c r="AA106" s="312"/>
      <c r="AB106" s="312"/>
      <c r="AC106" s="312"/>
      <c r="AD106" s="257"/>
    </row>
    <row r="107" spans="1:30" x14ac:dyDescent="0.2">
      <c r="B107" s="15" t="s">
        <v>379</v>
      </c>
      <c r="P107" s="289"/>
      <c r="Q107" s="454"/>
      <c r="R107" s="454"/>
      <c r="S107" s="454"/>
      <c r="AA107" s="454"/>
      <c r="AB107" s="454"/>
      <c r="AC107" s="454"/>
    </row>
    <row r="108" spans="1:30" x14ac:dyDescent="0.2">
      <c r="E108" s="2" t="s">
        <v>61</v>
      </c>
      <c r="F108" s="2" t="s">
        <v>62</v>
      </c>
      <c r="G108" s="2" t="s">
        <v>65</v>
      </c>
      <c r="H108" s="2" t="s">
        <v>203</v>
      </c>
      <c r="I108" s="2" t="s">
        <v>55</v>
      </c>
      <c r="P108" s="461"/>
      <c r="Q108" s="462"/>
      <c r="R108" s="462"/>
      <c r="S108" s="462"/>
      <c r="T108" s="257"/>
      <c r="V108" s="5"/>
      <c r="W108" s="5"/>
      <c r="X108" s="5"/>
      <c r="AA108" s="5"/>
      <c r="AB108" s="5"/>
      <c r="AC108" s="5"/>
    </row>
    <row r="109" spans="1:30" x14ac:dyDescent="0.2">
      <c r="P109" s="461"/>
      <c r="Q109" s="463"/>
      <c r="R109" s="463"/>
      <c r="S109" s="463"/>
      <c r="T109" s="464"/>
      <c r="U109" s="464"/>
      <c r="V109" s="456"/>
      <c r="W109" s="463"/>
      <c r="X109" s="463"/>
      <c r="Y109" s="463"/>
      <c r="Z109" s="257"/>
      <c r="AA109" s="456"/>
      <c r="AB109" s="456"/>
      <c r="AC109" s="456"/>
      <c r="AD109" s="257"/>
    </row>
    <row r="110" spans="1:30" x14ac:dyDescent="0.2">
      <c r="B110" s="23" t="s">
        <v>17</v>
      </c>
      <c r="E110" s="4">
        <f>SUM('BGS PTY25 Cost Alloc'!W65:W68)</f>
        <v>2370994</v>
      </c>
      <c r="G110" s="4">
        <f>SUM('BGS PTY25 Cost Alloc'!G65:G68)*1000</f>
        <v>2091570000</v>
      </c>
      <c r="I110" s="4">
        <f>SUM('BGS PTY25 Cost Alloc'!I65:I68)*1000</f>
        <v>40326000</v>
      </c>
      <c r="P110" s="289"/>
      <c r="Q110" s="465"/>
      <c r="R110" s="465"/>
      <c r="S110" s="465"/>
      <c r="T110" s="257"/>
      <c r="U110" s="289"/>
      <c r="V110" s="457"/>
      <c r="W110" s="466"/>
      <c r="X110" s="466"/>
      <c r="Z110" s="257"/>
      <c r="AA110" s="457"/>
      <c r="AB110" s="457"/>
      <c r="AC110" s="457"/>
    </row>
    <row r="111" spans="1:30" x14ac:dyDescent="0.2">
      <c r="B111" s="63" t="s">
        <v>72</v>
      </c>
      <c r="E111" s="4">
        <f>ROUND(SUMPRODUCT('BGS PTY25 Cost Alloc'!E65:E68,'BGS PTY25 Cost Alloc'!E38:E41)*1000-AVERAGE('BGS PTY25 Cost Alloc'!E38:E41)*E110,0)</f>
        <v>23328273</v>
      </c>
      <c r="H111" s="4">
        <f>SUMPRODUCT('BGS PTY25 Cost Alloc'!H65:H68,'BGS PTY25 Cost Alloc'!H38:H41)*1000</f>
        <v>24495801.499999996</v>
      </c>
      <c r="O111" s="4"/>
      <c r="P111" s="289"/>
      <c r="Q111" s="467"/>
      <c r="R111" s="467"/>
      <c r="S111" s="467"/>
      <c r="U111" s="289"/>
      <c r="V111" s="457"/>
      <c r="W111" s="457"/>
      <c r="X111" s="457"/>
      <c r="AA111" s="457"/>
      <c r="AB111" s="457"/>
      <c r="AC111" s="457"/>
    </row>
    <row r="112" spans="1:30" x14ac:dyDescent="0.2">
      <c r="B112" s="63" t="s">
        <v>73</v>
      </c>
      <c r="E112" s="4">
        <f>ROUND(SUM('BGS PTY25 Cost Alloc'!E65:E68)*1000,0)-E110-E111</f>
        <v>33868733</v>
      </c>
      <c r="H112" s="4">
        <f>SUM('BGS PTY25 Cost Alloc'!H65:H68)*1000-H111</f>
        <v>29455198.500000004</v>
      </c>
      <c r="P112" s="289"/>
      <c r="Q112" s="313"/>
      <c r="R112" s="313"/>
      <c r="S112" s="313"/>
      <c r="T112" s="458"/>
      <c r="V112" s="313"/>
      <c r="W112" s="313"/>
      <c r="X112" s="313"/>
      <c r="AA112" s="313"/>
      <c r="AB112" s="313"/>
      <c r="AC112" s="313"/>
    </row>
    <row r="113" spans="1:32" x14ac:dyDescent="0.2">
      <c r="B113" s="73" t="s">
        <v>142</v>
      </c>
      <c r="F113" s="4">
        <f>ROUND('BGS PTY25 Cost Alloc'!R65,0)*1000</f>
        <v>2024892000</v>
      </c>
      <c r="P113" s="289"/>
      <c r="Q113" s="92"/>
      <c r="R113" s="92"/>
      <c r="S113" s="92"/>
      <c r="V113" s="92"/>
      <c r="W113" s="92"/>
      <c r="X113" s="92"/>
      <c r="AA113" s="92"/>
      <c r="AB113" s="92"/>
      <c r="AC113" s="92"/>
    </row>
    <row r="114" spans="1:32" x14ac:dyDescent="0.2">
      <c r="B114" s="73" t="s">
        <v>144</v>
      </c>
      <c r="F114" s="4">
        <f>ROUND('BGS PTY25 Cost Alloc'!R66,0)*1000</f>
        <v>2010814000</v>
      </c>
      <c r="O114" s="16"/>
    </row>
    <row r="115" spans="1:32" x14ac:dyDescent="0.2">
      <c r="O115" s="16"/>
      <c r="P115" s="1"/>
      <c r="Q115" s="317"/>
      <c r="R115" s="317"/>
      <c r="S115" s="317"/>
    </row>
    <row r="116" spans="1:32" x14ac:dyDescent="0.2">
      <c r="B116" s="23" t="s">
        <v>18</v>
      </c>
      <c r="E116" s="4">
        <f>'BGS PTY25 Cost Alloc'!W72-E110</f>
        <v>5691342</v>
      </c>
      <c r="F116" s="4">
        <f>ROUND('BGS PTY25 Cost Alloc'!F72,0)*1000-SUM(F113:F114)</f>
        <v>5612850000</v>
      </c>
      <c r="G116" s="4">
        <f>'BGS PTY25 Cost Alloc'!G72*1000-G110</f>
        <v>3714049000</v>
      </c>
      <c r="I116" s="4">
        <f>'BGS PTY25 Cost Alloc'!I72*1000-'Composite Cost Allocation'!I110</f>
        <v>80621000</v>
      </c>
      <c r="P116" s="139"/>
      <c r="Q116" s="414"/>
      <c r="R116" s="414"/>
      <c r="S116" s="414"/>
      <c r="T116" s="257"/>
      <c r="U116" s="468"/>
      <c r="V116" s="314"/>
      <c r="W116" s="314"/>
      <c r="X116" s="314"/>
      <c r="AA116" s="314"/>
      <c r="AB116" s="314"/>
      <c r="AC116" s="314"/>
    </row>
    <row r="117" spans="1:32" x14ac:dyDescent="0.2">
      <c r="B117" s="63" t="s">
        <v>72</v>
      </c>
      <c r="E117" s="4">
        <f>SUMPRODUCT('BGS PTY25 Cost Alloc'!E60:E71,'BGS PTY25 Cost Alloc'!E33:E44)*1000-E111-SUMPRODUCT('BGS PTY25 Cost Alloc'!W60:W71,'BGS PTY25 Cost Alloc'!E33:E44)</f>
        <v>38318319.753899992</v>
      </c>
      <c r="H117" s="4">
        <f>SUMPRODUCT('BGS PTY25 Cost Alloc'!H60:H71,'BGS PTY25 Cost Alloc'!H33:H44)*1000-H111</f>
        <v>48727693.200000003</v>
      </c>
      <c r="P117" s="289"/>
      <c r="Q117" s="311"/>
      <c r="R117" s="311"/>
      <c r="S117" s="311"/>
      <c r="T117" s="468"/>
      <c r="U117" s="468"/>
      <c r="V117" s="314"/>
      <c r="W117" s="314"/>
      <c r="X117" s="314"/>
      <c r="Z117" s="221"/>
      <c r="AA117" s="314"/>
      <c r="AB117" s="314"/>
      <c r="AC117" s="314"/>
    </row>
    <row r="118" spans="1:32" x14ac:dyDescent="0.2">
      <c r="B118" s="63" t="s">
        <v>73</v>
      </c>
      <c r="E118" s="4">
        <f>'BGS PTY25 Cost Alloc'!E72*1000-E110-E111-E112-E116-E117</f>
        <v>71213338.246100008</v>
      </c>
      <c r="H118" s="4">
        <f>'BGS PTY25 Cost Alloc'!H72*1000-H111-H112-H117</f>
        <v>64383306.799999997</v>
      </c>
      <c r="Z118" s="221"/>
      <c r="AA118" s="221"/>
      <c r="AB118" s="221"/>
      <c r="AC118" s="221"/>
      <c r="AD118" s="221"/>
      <c r="AE118" s="221"/>
    </row>
    <row r="119" spans="1:32" x14ac:dyDescent="0.2">
      <c r="J119" s="2" t="s">
        <v>13</v>
      </c>
      <c r="K119" s="2"/>
      <c r="L119" s="2"/>
      <c r="V119" s="257"/>
      <c r="Z119" s="221"/>
      <c r="AA119" s="221"/>
      <c r="AB119" s="221"/>
      <c r="AC119" s="221"/>
      <c r="AD119" s="221"/>
      <c r="AE119" s="221"/>
    </row>
    <row r="120" spans="1:32" x14ac:dyDescent="0.2">
      <c r="B120" s="73" t="s">
        <v>162</v>
      </c>
      <c r="E120" s="4">
        <f>SUM(E110:E114)</f>
        <v>59568000</v>
      </c>
      <c r="F120" s="4">
        <f>SUM(F110:F114)</f>
        <v>4035706000</v>
      </c>
      <c r="G120" s="4">
        <f>SUM(G110:G114)</f>
        <v>2091570000</v>
      </c>
      <c r="H120" s="4">
        <f>SUM(H110:H114)</f>
        <v>53951000</v>
      </c>
      <c r="I120" s="4">
        <f>SUM(I110:I114)</f>
        <v>40326000</v>
      </c>
      <c r="J120" s="4">
        <f>SUM(E120:I120)</f>
        <v>6281121000</v>
      </c>
      <c r="K120" s="4"/>
      <c r="L120" s="4"/>
      <c r="Q120" s="492"/>
      <c r="R120" s="458"/>
      <c r="V120" s="257"/>
      <c r="W120" s="316"/>
      <c r="Z120" s="221"/>
      <c r="AA120" s="221"/>
      <c r="AB120" s="221"/>
      <c r="AC120" s="221"/>
      <c r="AD120" s="221"/>
      <c r="AE120" s="221"/>
    </row>
    <row r="121" spans="1:32" x14ac:dyDescent="0.2">
      <c r="B121" s="73" t="s">
        <v>163</v>
      </c>
      <c r="E121" s="115">
        <f>SUM(E116:E118)</f>
        <v>115223000</v>
      </c>
      <c r="F121" s="115">
        <f>SUM(F116:F118)</f>
        <v>5612850000</v>
      </c>
      <c r="G121" s="226">
        <f>SUM(G116:G118)</f>
        <v>3714049000</v>
      </c>
      <c r="H121" s="226">
        <f>SUM(H116:H118)</f>
        <v>113111000</v>
      </c>
      <c r="I121" s="226">
        <f>SUM(I116:I118)</f>
        <v>80621000</v>
      </c>
      <c r="J121" s="115">
        <f>SUM(E121:I121)</f>
        <v>9635854000</v>
      </c>
      <c r="K121" s="115"/>
      <c r="L121" s="115"/>
      <c r="V121" s="257"/>
      <c r="W121" s="316"/>
      <c r="AA121" s="221"/>
      <c r="AB121" s="221"/>
      <c r="AC121" s="221"/>
      <c r="AD121" s="221"/>
      <c r="AE121" s="221"/>
    </row>
    <row r="122" spans="1:32" x14ac:dyDescent="0.2">
      <c r="B122" s="73" t="s">
        <v>164</v>
      </c>
      <c r="E122" s="4">
        <f>SUM(E120:E121)</f>
        <v>174791000</v>
      </c>
      <c r="F122" s="4">
        <f>SUM(F120:F121)</f>
        <v>9648556000</v>
      </c>
      <c r="G122" s="4">
        <f>SUM(G120:G121)</f>
        <v>5805619000</v>
      </c>
      <c r="H122" s="4">
        <f>SUM(H120:H121)</f>
        <v>167062000</v>
      </c>
      <c r="I122" s="4">
        <f>SUM(I120:I121)</f>
        <v>120947000</v>
      </c>
      <c r="J122" s="4">
        <f>SUM(E122:I122)</f>
        <v>15916975000</v>
      </c>
      <c r="K122" s="4"/>
      <c r="L122" s="4"/>
      <c r="O122" s="297"/>
      <c r="P122" s="498" t="s">
        <v>309</v>
      </c>
      <c r="Q122" s="499">
        <v>0.99319542140891093</v>
      </c>
      <c r="R122" s="499">
        <v>0.99449478226221788</v>
      </c>
      <c r="S122" s="499">
        <v>0.99910950876989291</v>
      </c>
      <c r="T122" s="500" t="s">
        <v>313</v>
      </c>
      <c r="U122" s="409"/>
      <c r="V122" s="257"/>
      <c r="W122" s="311"/>
      <c r="X122" s="257"/>
      <c r="AF122" s="454"/>
    </row>
    <row r="123" spans="1:32" x14ac:dyDescent="0.2">
      <c r="E123" s="203">
        <f>E122/$J122</f>
        <v>1.0981420778759783E-2</v>
      </c>
      <c r="F123" s="203">
        <f t="shared" ref="F123:I123" si="0">F122/$J122</f>
        <v>0.60618025724109015</v>
      </c>
      <c r="G123" s="203">
        <f t="shared" si="0"/>
        <v>0.36474386621829841</v>
      </c>
      <c r="H123" s="203">
        <f t="shared" si="0"/>
        <v>1.049583856228963E-2</v>
      </c>
      <c r="I123" s="203">
        <f t="shared" si="0"/>
        <v>7.5986171995621023E-3</v>
      </c>
      <c r="P123" s="139"/>
      <c r="Q123" s="475"/>
      <c r="R123" s="454"/>
      <c r="S123" s="257"/>
      <c r="U123" s="257"/>
      <c r="V123" s="4"/>
      <c r="W123" s="289"/>
      <c r="X123" s="476"/>
      <c r="Y123" s="469"/>
      <c r="AF123" s="454"/>
    </row>
    <row r="124" spans="1:32" hidden="1" x14ac:dyDescent="0.2">
      <c r="T124" s="257"/>
      <c r="U124" s="257"/>
      <c r="V124" s="470"/>
      <c r="W124" s="289"/>
      <c r="X124" s="476"/>
      <c r="Y124" s="469"/>
      <c r="AF124" s="454"/>
    </row>
    <row r="125" spans="1:32" x14ac:dyDescent="0.2">
      <c r="Q125" s="1"/>
      <c r="V125" s="454"/>
      <c r="X125" s="476"/>
    </row>
    <row r="126" spans="1:32" x14ac:dyDescent="0.2">
      <c r="A126" s="6" t="s">
        <v>257</v>
      </c>
      <c r="B126" s="1" t="s">
        <v>96</v>
      </c>
      <c r="P126" s="6"/>
      <c r="Q126" s="1"/>
    </row>
    <row r="127" spans="1:32" x14ac:dyDescent="0.2">
      <c r="A127" s="7"/>
      <c r="B127" s="1"/>
      <c r="P127" s="7"/>
      <c r="Q127" s="1"/>
    </row>
    <row r="128" spans="1:32" x14ac:dyDescent="0.2">
      <c r="A128" s="7"/>
      <c r="B128" s="1" t="s">
        <v>97</v>
      </c>
      <c r="P128" s="6"/>
      <c r="Q128" s="1"/>
    </row>
    <row r="129" spans="1:28" x14ac:dyDescent="0.2">
      <c r="A129" s="7"/>
      <c r="B129" s="15" t="s">
        <v>340</v>
      </c>
      <c r="P129" s="7"/>
      <c r="Q129" s="15"/>
    </row>
    <row r="130" spans="1:28" x14ac:dyDescent="0.2">
      <c r="A130" s="7"/>
      <c r="B130" s="15" t="s">
        <v>21</v>
      </c>
      <c r="P130" s="7"/>
      <c r="Q130" s="15"/>
    </row>
    <row r="131" spans="1:28" x14ac:dyDescent="0.2">
      <c r="A131" s="7"/>
      <c r="C131" s="2"/>
      <c r="D131" s="2"/>
      <c r="E131" s="2" t="str">
        <f>E108</f>
        <v>RT{1}</v>
      </c>
      <c r="F131" s="2" t="str">
        <f>F108</f>
        <v>RS{2}</v>
      </c>
      <c r="G131" s="2" t="str">
        <f>G108</f>
        <v>GS{3}</v>
      </c>
      <c r="H131" s="2" t="str">
        <f>H108</f>
        <v>GST {4}</v>
      </c>
      <c r="I131" s="2" t="str">
        <f>I108</f>
        <v>OL/SL</v>
      </c>
      <c r="J131" s="2"/>
      <c r="K131" s="2"/>
      <c r="L131" s="2"/>
      <c r="P131" s="7"/>
      <c r="R131" s="2"/>
      <c r="S131" s="2"/>
      <c r="T131" s="2"/>
      <c r="U131" s="2"/>
      <c r="V131" s="2"/>
      <c r="W131" s="2"/>
      <c r="X131" s="2"/>
      <c r="Y131" s="2"/>
      <c r="Z131" s="2"/>
    </row>
    <row r="132" spans="1:28" x14ac:dyDescent="0.2">
      <c r="A132" s="7"/>
      <c r="C132" s="2"/>
      <c r="D132" s="2"/>
      <c r="E132" s="60"/>
      <c r="F132" s="2"/>
      <c r="G132" s="2"/>
      <c r="P132" s="7"/>
      <c r="R132" s="2"/>
      <c r="S132" s="2"/>
      <c r="T132" s="293"/>
      <c r="U132" s="2"/>
      <c r="V132" s="2"/>
      <c r="AA132" s="2"/>
    </row>
    <row r="133" spans="1:28" x14ac:dyDescent="0.2">
      <c r="A133" s="7"/>
      <c r="B133" s="23" t="s">
        <v>17</v>
      </c>
      <c r="C133" s="60"/>
      <c r="D133" s="60"/>
      <c r="E133" s="60">
        <f>E85*1000/(E110/1000)</f>
        <v>118.88555456141738</v>
      </c>
      <c r="F133" s="60"/>
      <c r="G133" s="60">
        <f>G85*1000/(G110/1000)*S122</f>
        <v>111.99881466099552</v>
      </c>
      <c r="H133" s="60"/>
      <c r="I133" s="60">
        <f>I85*1000/(I110/1000)</f>
        <v>80.849391132179505</v>
      </c>
      <c r="J133" s="60"/>
      <c r="K133" s="60"/>
      <c r="L133" s="60"/>
      <c r="M133" s="60"/>
      <c r="P133" s="7"/>
      <c r="Q133" s="23"/>
      <c r="R133" s="293"/>
      <c r="S133" s="293"/>
      <c r="T133" s="293"/>
      <c r="U133" s="293"/>
      <c r="V133" s="293"/>
      <c r="W133" s="293"/>
      <c r="X133" s="293"/>
      <c r="Y133" s="293"/>
      <c r="Z133" s="293"/>
    </row>
    <row r="134" spans="1:28" x14ac:dyDescent="0.2">
      <c r="A134" s="7"/>
      <c r="B134" s="63" t="s">
        <v>72</v>
      </c>
      <c r="C134" s="60"/>
      <c r="D134" s="60"/>
      <c r="E134" s="60">
        <f>E86*1000/(E111/1000)*Q122</f>
        <v>179.53874959177304</v>
      </c>
      <c r="F134" s="60"/>
      <c r="G134" s="60"/>
      <c r="H134" s="60">
        <f>H86*1000/(H111/1000)</f>
        <v>147.78973822333927</v>
      </c>
      <c r="I134" s="60"/>
      <c r="J134" s="60"/>
      <c r="K134" s="60"/>
      <c r="L134" s="60"/>
      <c r="P134" s="7"/>
      <c r="Q134" s="63"/>
      <c r="R134" s="293"/>
      <c r="S134" s="293"/>
      <c r="T134" s="293"/>
      <c r="U134" s="293"/>
      <c r="V134" s="293"/>
      <c r="W134" s="293"/>
      <c r="X134" s="293"/>
      <c r="Y134" s="293"/>
      <c r="Z134" s="293"/>
      <c r="AA134" s="60"/>
      <c r="AB134" s="60"/>
    </row>
    <row r="135" spans="1:28" x14ac:dyDescent="0.2">
      <c r="A135" s="7"/>
      <c r="B135" s="63" t="s">
        <v>73</v>
      </c>
      <c r="C135" s="60"/>
      <c r="D135" s="60"/>
      <c r="E135" s="60">
        <f>E87*1000/(E112/1000)*Q122</f>
        <v>75.753586879997187</v>
      </c>
      <c r="F135" s="60"/>
      <c r="G135" s="60"/>
      <c r="H135" s="60">
        <f>H87*1000/(H112/1000)</f>
        <v>76.00216313392832</v>
      </c>
      <c r="I135" s="60"/>
      <c r="J135" s="60"/>
      <c r="K135" s="60"/>
      <c r="L135" s="60"/>
      <c r="P135" s="7"/>
      <c r="Q135" s="63"/>
      <c r="R135" s="293"/>
      <c r="S135" s="293"/>
      <c r="T135" s="293"/>
      <c r="U135" s="293"/>
      <c r="V135" s="293"/>
      <c r="W135" s="293"/>
      <c r="X135" s="293"/>
      <c r="Y135" s="293"/>
      <c r="Z135" s="293"/>
      <c r="AA135" s="60"/>
    </row>
    <row r="136" spans="1:28" x14ac:dyDescent="0.2">
      <c r="A136" s="7"/>
      <c r="B136" s="73" t="s">
        <v>142</v>
      </c>
      <c r="C136" s="60"/>
      <c r="D136" s="60"/>
      <c r="E136" s="60"/>
      <c r="F136" s="60">
        <f>F88*1000/(F113/1000)*R122</f>
        <v>119.71818748185257</v>
      </c>
      <c r="G136" s="60"/>
      <c r="H136" s="60"/>
      <c r="I136" s="60"/>
      <c r="J136" s="60"/>
      <c r="K136" s="60"/>
      <c r="L136" s="60"/>
      <c r="P136" s="7"/>
      <c r="Q136" s="73"/>
      <c r="R136" s="293"/>
      <c r="S136" s="293"/>
      <c r="T136" s="293"/>
      <c r="U136" s="293"/>
      <c r="V136" s="293"/>
      <c r="W136" s="293"/>
      <c r="X136" s="293"/>
      <c r="Y136" s="293"/>
      <c r="Z136" s="293"/>
      <c r="AA136" s="60"/>
    </row>
    <row r="137" spans="1:28" x14ac:dyDescent="0.2">
      <c r="A137" s="7"/>
      <c r="B137" s="73" t="s">
        <v>144</v>
      </c>
      <c r="C137" s="60"/>
      <c r="D137" s="60"/>
      <c r="E137" s="60"/>
      <c r="F137" s="60">
        <f>F89*1000/(F114/1000)*R122</f>
        <v>128.32255633798528</v>
      </c>
      <c r="G137" s="60"/>
      <c r="H137" s="60"/>
      <c r="I137" s="60"/>
      <c r="J137" s="60"/>
      <c r="K137" s="60"/>
      <c r="L137" s="60"/>
      <c r="P137" s="7"/>
      <c r="Q137" s="73"/>
      <c r="R137" s="293"/>
      <c r="S137" s="293"/>
      <c r="T137" s="293"/>
      <c r="U137" s="293"/>
      <c r="V137" s="471"/>
      <c r="W137" s="293"/>
      <c r="X137" s="293"/>
      <c r="Y137" s="293"/>
      <c r="Z137" s="293"/>
      <c r="AA137" s="60"/>
    </row>
    <row r="138" spans="1:28" x14ac:dyDescent="0.2">
      <c r="A138" s="7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P138" s="7"/>
      <c r="R138" s="293"/>
      <c r="S138" s="293"/>
      <c r="T138" s="293"/>
      <c r="U138" s="293"/>
      <c r="V138" s="293"/>
      <c r="W138" s="293"/>
      <c r="X138" s="293"/>
      <c r="Y138" s="293"/>
      <c r="Z138" s="293"/>
      <c r="AA138" s="60"/>
    </row>
    <row r="139" spans="1:28" x14ac:dyDescent="0.2">
      <c r="A139" s="7"/>
      <c r="B139" s="23" t="s">
        <v>18</v>
      </c>
      <c r="C139" s="60"/>
      <c r="D139" s="60"/>
      <c r="E139" s="60">
        <f>E91*1000/(E116/1000)</f>
        <v>118.30269741689843</v>
      </c>
      <c r="F139" s="60">
        <f>F91*1000/(F116/1000)*R122</f>
        <v>136.44602690032661</v>
      </c>
      <c r="G139" s="60">
        <f>G91*1000/(G116/1000)*S122</f>
        <v>111.3963764455238</v>
      </c>
      <c r="H139" s="60"/>
      <c r="I139" s="60">
        <f>I91*1000/(I116/1000)</f>
        <v>83.97310548786615</v>
      </c>
      <c r="J139" s="60"/>
      <c r="K139" s="60"/>
      <c r="L139" s="60"/>
      <c r="M139" s="60"/>
      <c r="P139" s="7"/>
      <c r="Q139" s="23"/>
      <c r="R139" s="293"/>
      <c r="S139" s="293"/>
      <c r="T139" s="293"/>
      <c r="U139" s="293"/>
      <c r="V139" s="293"/>
      <c r="W139" s="293"/>
      <c r="X139" s="293"/>
      <c r="Y139" s="293"/>
      <c r="Z139" s="293"/>
      <c r="AA139" s="60"/>
    </row>
    <row r="140" spans="1:28" x14ac:dyDescent="0.2">
      <c r="A140" s="7"/>
      <c r="B140" s="63" t="s">
        <v>72</v>
      </c>
      <c r="C140" s="60"/>
      <c r="D140" s="60"/>
      <c r="E140" s="60">
        <f>E92*1000/(E117/1000)*Q122</f>
        <v>180.23109519189774</v>
      </c>
      <c r="F140" s="60"/>
      <c r="G140" s="60"/>
      <c r="H140" s="60">
        <f>H92*1000/(H117/1000)</f>
        <v>132.78367729843376</v>
      </c>
      <c r="I140" s="60"/>
      <c r="J140" s="60"/>
      <c r="K140" s="60"/>
      <c r="L140" s="60"/>
      <c r="P140" s="7"/>
      <c r="Q140" s="63"/>
      <c r="R140" s="293"/>
      <c r="S140" s="293"/>
      <c r="T140" s="293"/>
      <c r="U140" s="293"/>
      <c r="V140" s="293"/>
      <c r="W140" s="293"/>
      <c r="X140" s="293"/>
      <c r="Y140" s="293"/>
      <c r="Z140" s="293"/>
      <c r="AA140" s="60"/>
      <c r="AB140" s="60"/>
    </row>
    <row r="141" spans="1:28" x14ac:dyDescent="0.2">
      <c r="A141" s="7"/>
      <c r="B141" s="63" t="s">
        <v>73</v>
      </c>
      <c r="C141" s="60"/>
      <c r="D141" s="60"/>
      <c r="E141" s="60">
        <f>E93*1000/(E118/1000)*Q122</f>
        <v>83.716949694829168</v>
      </c>
      <c r="F141" s="60"/>
      <c r="G141" s="60"/>
      <c r="H141" s="60">
        <f>H93*1000/(H118/1000)</f>
        <v>82.396500046385469</v>
      </c>
      <c r="I141" s="60"/>
      <c r="J141" s="60"/>
      <c r="K141" s="60"/>
      <c r="L141" s="60"/>
      <c r="P141" s="7"/>
      <c r="Q141" s="63"/>
      <c r="R141" s="293"/>
      <c r="S141" s="293"/>
      <c r="T141" s="293"/>
      <c r="U141" s="293"/>
      <c r="V141" s="293"/>
      <c r="W141" s="293"/>
      <c r="X141" s="293"/>
      <c r="Y141" s="293"/>
      <c r="Z141" s="293"/>
      <c r="AA141" s="60"/>
    </row>
    <row r="142" spans="1:28" x14ac:dyDescent="0.2">
      <c r="A142" s="7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P142" s="7"/>
      <c r="R142" s="293"/>
      <c r="S142" s="293"/>
      <c r="T142" s="293"/>
      <c r="U142" s="293"/>
      <c r="V142" s="293"/>
      <c r="W142" s="293"/>
      <c r="X142" s="293"/>
      <c r="Y142" s="293"/>
      <c r="Z142" s="293"/>
      <c r="AA142" s="60"/>
    </row>
    <row r="143" spans="1:28" x14ac:dyDescent="0.2">
      <c r="A143" s="7"/>
      <c r="B143" t="s">
        <v>98</v>
      </c>
      <c r="C143" s="60"/>
      <c r="D143" s="60"/>
      <c r="E143" s="60">
        <f>E98*1000/(E122/1000)*Q122</f>
        <v>117.68684672596909</v>
      </c>
      <c r="F143" s="60">
        <f>F98*1000/(F122/1000)*R122</f>
        <v>131.2424651910826</v>
      </c>
      <c r="G143" s="60">
        <f>G98*1000/(G122/1000)*S122</f>
        <v>111.61341474899051</v>
      </c>
      <c r="H143" s="60">
        <f>H98*1000/(H122/1000)</f>
        <v>105.55415548654786</v>
      </c>
      <c r="I143" s="60">
        <f>I98*1000/(I122/1000)</f>
        <v>82.931600488920978</v>
      </c>
      <c r="J143" s="60"/>
      <c r="K143" s="60"/>
      <c r="L143" s="60"/>
      <c r="M143" s="60"/>
      <c r="P143" s="7"/>
      <c r="R143" s="293"/>
      <c r="S143" s="293"/>
      <c r="T143" s="293"/>
      <c r="U143" s="293"/>
      <c r="V143" s="293"/>
      <c r="W143" s="293"/>
      <c r="X143" s="293"/>
      <c r="Y143" s="293"/>
      <c r="Z143" s="293"/>
      <c r="AA143" s="60"/>
    </row>
    <row r="144" spans="1:28" x14ac:dyDescent="0.2">
      <c r="A144" s="7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P144" s="7"/>
      <c r="R144" s="293"/>
      <c r="S144" s="293"/>
      <c r="T144" s="472"/>
      <c r="U144" s="472"/>
      <c r="V144" s="472"/>
      <c r="W144" s="473"/>
      <c r="X144" s="473"/>
      <c r="Y144" s="293"/>
      <c r="Z144" s="293"/>
      <c r="AA144" s="60"/>
      <c r="AB144" s="60"/>
    </row>
    <row r="145" spans="1:29" x14ac:dyDescent="0.2">
      <c r="A145" s="7"/>
      <c r="B145" s="1" t="s">
        <v>99</v>
      </c>
      <c r="P145" s="7"/>
      <c r="Q145" s="1"/>
      <c r="T145" s="477"/>
      <c r="U145" s="477"/>
      <c r="V145" s="477"/>
      <c r="W145" s="477"/>
      <c r="X145" s="477"/>
      <c r="AA145" s="60"/>
      <c r="AB145" s="60"/>
    </row>
    <row r="146" spans="1:29" x14ac:dyDescent="0.2">
      <c r="A146" s="7"/>
      <c r="B146" s="15" t="s">
        <v>345</v>
      </c>
      <c r="P146" s="7"/>
      <c r="Q146" s="15"/>
    </row>
    <row r="147" spans="1:29" x14ac:dyDescent="0.2">
      <c r="A147" s="7"/>
      <c r="B147" s="15" t="s">
        <v>21</v>
      </c>
      <c r="R147" s="257"/>
      <c r="S147" s="257"/>
    </row>
    <row r="148" spans="1:29" x14ac:dyDescent="0.2">
      <c r="A148" s="7"/>
      <c r="B148" s="63"/>
      <c r="C148" s="60"/>
      <c r="D148" s="60"/>
      <c r="I148" s="73"/>
      <c r="J148" s="60"/>
      <c r="K148" s="60"/>
      <c r="L148" s="60"/>
      <c r="M148" s="77"/>
      <c r="Q148" s="478"/>
      <c r="R148" s="292"/>
      <c r="S148" s="292"/>
      <c r="T148" s="185"/>
      <c r="U148" s="185"/>
      <c r="X148" s="73"/>
      <c r="Y148" s="293"/>
      <c r="Z148" s="293"/>
    </row>
    <row r="149" spans="1:29" x14ac:dyDescent="0.2">
      <c r="A149" s="7"/>
      <c r="C149" s="60"/>
      <c r="D149" s="60"/>
      <c r="Q149" s="185"/>
      <c r="R149" s="292"/>
      <c r="S149" s="292"/>
      <c r="T149" s="185"/>
      <c r="U149" s="185"/>
      <c r="V149" s="185"/>
      <c r="W149" s="185"/>
      <c r="X149" s="185"/>
      <c r="Y149" s="185"/>
      <c r="Z149" s="185"/>
      <c r="AA149" s="60"/>
      <c r="AB149" s="77"/>
    </row>
    <row r="150" spans="1:29" x14ac:dyDescent="0.2">
      <c r="A150" s="7"/>
      <c r="B150" s="32" t="s">
        <v>101</v>
      </c>
      <c r="C150" s="60"/>
      <c r="D150" s="60"/>
      <c r="I150" s="80"/>
      <c r="M150" s="77"/>
      <c r="Q150" s="479"/>
      <c r="R150" s="292"/>
      <c r="S150" s="292"/>
      <c r="T150" s="185"/>
      <c r="U150" s="185"/>
      <c r="V150" s="185"/>
      <c r="W150" s="185"/>
      <c r="X150" s="185"/>
      <c r="Y150" s="185"/>
      <c r="Z150" s="185"/>
    </row>
    <row r="151" spans="1:29" x14ac:dyDescent="0.2">
      <c r="A151" s="7"/>
      <c r="B151" s="63"/>
      <c r="C151" s="60"/>
      <c r="D151" s="60"/>
      <c r="I151" s="73"/>
      <c r="J151" s="64"/>
      <c r="K151" s="64"/>
      <c r="L151" s="64"/>
      <c r="M151" s="77"/>
      <c r="Q151" s="478"/>
      <c r="R151" s="292"/>
      <c r="S151" s="292"/>
      <c r="T151" s="185"/>
      <c r="U151" s="185"/>
      <c r="V151" s="185"/>
      <c r="W151" s="185"/>
      <c r="X151" s="185"/>
      <c r="Y151" s="185"/>
      <c r="Z151" s="185"/>
      <c r="AB151" s="77"/>
    </row>
    <row r="152" spans="1:29" x14ac:dyDescent="0.2">
      <c r="A152" s="7"/>
      <c r="B152" s="1" t="s">
        <v>102</v>
      </c>
      <c r="C152" s="60"/>
      <c r="D152" s="60"/>
      <c r="Q152" s="478"/>
      <c r="R152" s="292"/>
      <c r="S152" s="292"/>
      <c r="T152" s="185"/>
      <c r="U152" s="185"/>
      <c r="V152" s="185"/>
      <c r="W152" s="185"/>
      <c r="X152" s="185"/>
      <c r="Y152" s="185"/>
      <c r="Z152" s="185"/>
    </row>
    <row r="153" spans="1:29" x14ac:dyDescent="0.2">
      <c r="A153" s="7"/>
      <c r="B153" s="73" t="s">
        <v>103</v>
      </c>
      <c r="C153" s="68">
        <f>J98</f>
        <v>1970248.5764988246</v>
      </c>
      <c r="G153" s="3"/>
      <c r="Q153" s="478"/>
      <c r="R153" s="292"/>
      <c r="S153" s="292"/>
      <c r="T153" s="185"/>
      <c r="U153" s="185"/>
      <c r="V153" s="185"/>
      <c r="W153" s="185"/>
      <c r="X153" s="185"/>
      <c r="Y153" s="185"/>
      <c r="Z153" s="185"/>
    </row>
    <row r="154" spans="1:29" x14ac:dyDescent="0.2">
      <c r="A154" s="7"/>
      <c r="C154" s="73" t="s">
        <v>104</v>
      </c>
      <c r="D154" s="79">
        <f>+C153/SUMPRODUCT('BGS PTY25 Cost Alloc'!E72:I72,'BGS PTY25 Cost Alloc'!E95:I95)*1000</f>
        <v>110.71819177276188</v>
      </c>
      <c r="E154" t="s">
        <v>105</v>
      </c>
      <c r="I154" t="s">
        <v>251</v>
      </c>
      <c r="Q154" s="478"/>
      <c r="R154" s="292"/>
      <c r="S154" s="292"/>
      <c r="T154" s="185"/>
      <c r="U154" s="185"/>
      <c r="V154" s="185"/>
      <c r="W154" s="185"/>
      <c r="X154" s="185"/>
      <c r="Y154" s="185"/>
      <c r="Z154" s="185"/>
    </row>
    <row r="155" spans="1:29" x14ac:dyDescent="0.2">
      <c r="A155" s="7"/>
      <c r="C155" s="73" t="s">
        <v>266</v>
      </c>
      <c r="D155" s="493">
        <f>C153/SUMPRODUCT('BGS PTY25 Cost Alloc'!E72:I72,'BGS PTY25 Cost Alloc'!E98:I98)*1000</f>
        <v>111.98461627269418</v>
      </c>
      <c r="E155" t="s">
        <v>264</v>
      </c>
      <c r="J155" s="203"/>
      <c r="K155" s="203"/>
      <c r="L155" s="203"/>
      <c r="R155" s="73"/>
      <c r="S155" s="480"/>
      <c r="Y155" s="313"/>
      <c r="Z155" s="313"/>
    </row>
    <row r="156" spans="1:29" ht="15.75" x14ac:dyDescent="0.25">
      <c r="A156" s="7"/>
      <c r="B156" s="504" t="str">
        <f>$B$1</f>
        <v xml:space="preserve">Jersey Central Power &amp; Light </v>
      </c>
      <c r="C156" s="504"/>
      <c r="D156" s="504"/>
      <c r="E156" s="504"/>
      <c r="F156" s="504"/>
      <c r="G156" s="504"/>
      <c r="H156" s="504"/>
      <c r="I156" s="504"/>
      <c r="J156" s="504"/>
      <c r="K156" s="504"/>
      <c r="L156" s="504"/>
      <c r="M156" s="504"/>
      <c r="N156" s="504"/>
      <c r="P156" s="7"/>
      <c r="Q156" s="140"/>
      <c r="R156" s="140"/>
      <c r="S156" s="140"/>
      <c r="T156" s="140"/>
      <c r="U156" s="140"/>
      <c r="V156" s="140"/>
      <c r="W156" s="140"/>
      <c r="X156" s="140"/>
      <c r="Y156" s="140"/>
      <c r="Z156" s="140"/>
      <c r="AA156" s="203"/>
    </row>
    <row r="157" spans="1:29" ht="15.75" x14ac:dyDescent="0.25">
      <c r="A157" s="7"/>
      <c r="B157" s="504" t="str">
        <f>$B$2</f>
        <v>Attachment 2</v>
      </c>
      <c r="C157" s="504"/>
      <c r="D157" s="504"/>
      <c r="E157" s="504"/>
      <c r="F157" s="504"/>
      <c r="G157" s="504"/>
      <c r="H157" s="504"/>
      <c r="I157" s="504"/>
      <c r="J157" s="504"/>
      <c r="K157" s="504"/>
      <c r="L157" s="504"/>
      <c r="M157" s="504"/>
      <c r="N157" s="504"/>
      <c r="P157" s="7"/>
      <c r="Q157" s="140"/>
      <c r="R157" s="140"/>
      <c r="S157" s="140"/>
      <c r="T157" s="140"/>
      <c r="U157" s="140"/>
      <c r="V157" s="140"/>
      <c r="W157" s="140"/>
      <c r="X157" s="140"/>
      <c r="Y157" s="140"/>
      <c r="Z157" s="140"/>
      <c r="AA157" s="140"/>
      <c r="AB157" s="140"/>
      <c r="AC157" s="140"/>
    </row>
    <row r="158" spans="1:29" ht="15.75" x14ac:dyDescent="0.25">
      <c r="A158" s="7"/>
      <c r="B158" s="140"/>
      <c r="C158" s="140"/>
      <c r="D158" s="140"/>
      <c r="E158" s="140"/>
      <c r="F158" s="140"/>
      <c r="G158" s="140"/>
      <c r="H158" s="140"/>
      <c r="I158" s="140"/>
      <c r="J158" s="140"/>
      <c r="K158" s="140"/>
      <c r="L158" s="140"/>
      <c r="M158" s="140"/>
      <c r="N158" s="140"/>
      <c r="P158" s="7"/>
      <c r="Q158" s="140"/>
      <c r="R158" s="140"/>
      <c r="S158" s="140"/>
      <c r="T158" s="140"/>
      <c r="U158" s="140"/>
      <c r="V158" s="140"/>
      <c r="W158" s="140"/>
      <c r="X158" s="140"/>
      <c r="Y158" s="140"/>
      <c r="Z158" s="140"/>
      <c r="AA158" s="140"/>
      <c r="AB158" s="140"/>
      <c r="AC158" s="140"/>
    </row>
    <row r="159" spans="1:29" x14ac:dyDescent="0.2">
      <c r="A159" s="6" t="s">
        <v>258</v>
      </c>
      <c r="B159" s="1" t="s">
        <v>269</v>
      </c>
      <c r="J159" s="1" t="s">
        <v>251</v>
      </c>
      <c r="K159" s="1"/>
      <c r="L159" s="1"/>
      <c r="M159" s="1"/>
      <c r="N159" s="1"/>
      <c r="P159" s="6"/>
      <c r="Q159" s="1"/>
      <c r="Y159" s="1"/>
      <c r="Z159" s="1"/>
    </row>
    <row r="160" spans="1:29" x14ac:dyDescent="0.2">
      <c r="A160" s="7"/>
      <c r="B160" s="1"/>
      <c r="P160" s="7"/>
      <c r="Q160" s="1"/>
      <c r="AA160" s="1"/>
      <c r="AB160" s="1"/>
      <c r="AC160" s="1"/>
    </row>
    <row r="161" spans="1:29" x14ac:dyDescent="0.2">
      <c r="A161" s="7"/>
      <c r="B161" s="1" t="s">
        <v>97</v>
      </c>
      <c r="P161" s="7"/>
      <c r="Q161" s="1"/>
    </row>
    <row r="162" spans="1:29" x14ac:dyDescent="0.2">
      <c r="A162" s="7"/>
      <c r="B162" s="15" t="s">
        <v>341</v>
      </c>
      <c r="P162" s="7"/>
      <c r="Q162" s="15"/>
    </row>
    <row r="163" spans="1:29" x14ac:dyDescent="0.2">
      <c r="A163" s="7"/>
      <c r="B163" s="1"/>
      <c r="P163" s="7"/>
      <c r="Q163" s="1"/>
    </row>
    <row r="164" spans="1:29" x14ac:dyDescent="0.2">
      <c r="A164" s="7"/>
      <c r="C164" s="2"/>
      <c r="D164" s="2"/>
      <c r="E164" s="2" t="str">
        <f>+E$10</f>
        <v>RT{1}</v>
      </c>
      <c r="F164" s="2" t="str">
        <f>+F$10</f>
        <v>RS{2}</v>
      </c>
      <c r="G164" s="2" t="str">
        <f>+G$10</f>
        <v>GS{3}</v>
      </c>
      <c r="H164" s="2" t="str">
        <f>+H$10</f>
        <v>GST {4}</v>
      </c>
      <c r="I164" s="2" t="str">
        <f>+I$10</f>
        <v>OL/SL</v>
      </c>
      <c r="J164" s="2"/>
      <c r="K164" s="2"/>
      <c r="L164" s="2"/>
      <c r="M164" s="2"/>
      <c r="N164" s="2"/>
      <c r="P164" s="7"/>
      <c r="R164" s="2"/>
      <c r="S164" s="2"/>
      <c r="T164" s="2"/>
      <c r="U164" s="2"/>
      <c r="V164" s="2"/>
      <c r="W164" s="2"/>
      <c r="X164" s="2"/>
      <c r="Y164" s="2"/>
      <c r="Z164" s="2"/>
    </row>
    <row r="165" spans="1:29" x14ac:dyDescent="0.2">
      <c r="A165" s="7"/>
      <c r="C165" s="2"/>
      <c r="D165" s="2"/>
      <c r="E165" s="2"/>
      <c r="F165" s="2"/>
      <c r="G165" s="2"/>
      <c r="P165" s="7"/>
      <c r="R165" s="2"/>
      <c r="S165" s="2"/>
      <c r="T165" s="2"/>
      <c r="U165" s="2"/>
      <c r="V165" s="2"/>
      <c r="AA165" s="2"/>
      <c r="AB165" s="2"/>
      <c r="AC165" s="2"/>
    </row>
    <row r="166" spans="1:29" x14ac:dyDescent="0.2">
      <c r="A166" s="7"/>
      <c r="B166" s="23" t="s">
        <v>17</v>
      </c>
      <c r="C166" s="81"/>
      <c r="D166" s="81"/>
      <c r="E166" s="105">
        <f>+ROUND(E133/$D$155,3)</f>
        <v>1.0620000000000001</v>
      </c>
      <c r="F166" s="105">
        <f>ROUND((F88+F89)*R122*1000000/(F113+F114)/D155,3)</f>
        <v>1.107</v>
      </c>
      <c r="G166" s="105">
        <f>+ROUND(G133/$D$155,3)</f>
        <v>1</v>
      </c>
      <c r="H166" s="105"/>
      <c r="I166" s="105">
        <f>+ROUND(I133/$D$155,3)</f>
        <v>0.72199999999999998</v>
      </c>
      <c r="J166" s="81"/>
      <c r="K166" s="81"/>
      <c r="L166" s="81"/>
      <c r="M166" s="81"/>
      <c r="N166" s="81"/>
      <c r="P166" s="7"/>
      <c r="Q166" s="23"/>
      <c r="R166" s="81"/>
      <c r="S166" s="81"/>
      <c r="T166" s="105"/>
      <c r="U166" s="105"/>
      <c r="V166" s="105"/>
      <c r="W166" s="105"/>
      <c r="X166" s="105"/>
      <c r="Y166" s="81"/>
      <c r="Z166" s="81"/>
    </row>
    <row r="167" spans="1:29" x14ac:dyDescent="0.2">
      <c r="A167" s="7"/>
      <c r="B167" s="63" t="s">
        <v>72</v>
      </c>
      <c r="C167" s="83"/>
      <c r="D167" s="83"/>
      <c r="E167" s="105">
        <f>+ROUND(E134/$D$155,3)</f>
        <v>1.603</v>
      </c>
      <c r="F167" s="106"/>
      <c r="G167" s="106"/>
      <c r="H167" s="105">
        <f>+ROUND(H134/$D$155,3)</f>
        <v>1.32</v>
      </c>
      <c r="I167" s="106"/>
      <c r="J167" s="83"/>
      <c r="K167" s="83"/>
      <c r="L167" s="83"/>
      <c r="M167" s="83"/>
      <c r="N167" s="83"/>
      <c r="P167" s="7"/>
      <c r="Q167" s="63"/>
      <c r="R167" s="83"/>
      <c r="S167" s="83"/>
      <c r="T167" s="105"/>
      <c r="U167" s="106"/>
      <c r="V167" s="106"/>
      <c r="W167" s="105"/>
      <c r="X167" s="106"/>
      <c r="Y167" s="83"/>
      <c r="Z167" s="83"/>
      <c r="AA167" s="81"/>
      <c r="AB167" s="81"/>
      <c r="AC167" s="81"/>
    </row>
    <row r="168" spans="1:29" x14ac:dyDescent="0.2">
      <c r="A168" s="7"/>
      <c r="B168" s="63" t="s">
        <v>73</v>
      </c>
      <c r="C168" s="83"/>
      <c r="D168" s="83"/>
      <c r="E168" s="105">
        <f>+ROUND(E135/$D$155,3)</f>
        <v>0.67600000000000005</v>
      </c>
      <c r="F168" s="106"/>
      <c r="G168" s="106"/>
      <c r="H168" s="105">
        <f>+ROUND(H135/$D$155,3)</f>
        <v>0.67900000000000005</v>
      </c>
      <c r="I168" s="106"/>
      <c r="J168" s="83"/>
      <c r="K168" s="83"/>
      <c r="L168" s="83"/>
      <c r="M168" s="83"/>
      <c r="N168" s="83"/>
      <c r="O168" s="497">
        <f>(F88+F89)*1000000/(F113+F114)</f>
        <v>124.69181995590226</v>
      </c>
      <c r="P168" s="7"/>
      <c r="Q168" s="63"/>
      <c r="R168" s="83"/>
      <c r="S168" s="83"/>
      <c r="T168" s="105"/>
      <c r="U168" s="106"/>
      <c r="V168" s="106"/>
      <c r="W168" s="105"/>
      <c r="X168" s="106"/>
      <c r="Y168" s="83"/>
      <c r="Z168" s="106"/>
      <c r="AA168" s="83"/>
      <c r="AB168" s="83"/>
      <c r="AC168" s="83"/>
    </row>
    <row r="169" spans="1:29" x14ac:dyDescent="0.2">
      <c r="A169" s="7"/>
      <c r="B169" s="63"/>
      <c r="C169" s="83"/>
      <c r="D169" s="83"/>
      <c r="E169" s="105"/>
      <c r="H169" s="105"/>
      <c r="I169" s="106"/>
      <c r="K169" s="106"/>
      <c r="L169" s="106"/>
      <c r="M169" s="106"/>
      <c r="N169" s="106"/>
      <c r="O169" s="497">
        <f>F88*1000000/F113</f>
        <v>120.38091060621227</v>
      </c>
      <c r="P169" s="7"/>
      <c r="Q169" s="63"/>
      <c r="R169" s="83"/>
      <c r="S169" s="83"/>
      <c r="T169" s="105"/>
      <c r="V169" s="106"/>
      <c r="W169" s="105"/>
      <c r="X169" s="106"/>
      <c r="Z169" s="106"/>
      <c r="AA169" s="83"/>
      <c r="AB169" s="83"/>
      <c r="AC169" s="83"/>
    </row>
    <row r="170" spans="1:29" x14ac:dyDescent="0.2">
      <c r="A170" s="7"/>
      <c r="B170" s="63"/>
      <c r="C170" s="83"/>
      <c r="D170" s="83"/>
      <c r="E170" s="105"/>
      <c r="G170" s="106"/>
      <c r="H170" s="105"/>
      <c r="I170" s="106"/>
      <c r="K170" s="106"/>
      <c r="L170" s="106"/>
      <c r="M170" s="106"/>
      <c r="N170" s="106"/>
      <c r="O170" s="497">
        <f>F89*1000000/F114</f>
        <v>129.03291060621225</v>
      </c>
      <c r="P170" s="7"/>
      <c r="Q170" s="63"/>
      <c r="R170" s="83"/>
      <c r="S170" s="83"/>
      <c r="T170" s="105"/>
      <c r="V170" s="106"/>
      <c r="W170" s="105"/>
      <c r="X170" s="106"/>
      <c r="Z170" s="106"/>
      <c r="AA170" s="106"/>
      <c r="AB170" s="106"/>
      <c r="AC170" s="106"/>
    </row>
    <row r="171" spans="1:29" x14ac:dyDescent="0.2">
      <c r="A171" s="7"/>
      <c r="C171" s="96"/>
      <c r="D171" s="96"/>
      <c r="E171" s="481" t="s">
        <v>156</v>
      </c>
      <c r="F171" s="105">
        <f>ROUND(O169-O168,3)</f>
        <v>-4.3109999999999999</v>
      </c>
      <c r="G171" s="106"/>
      <c r="H171" s="105"/>
      <c r="I171" s="106"/>
      <c r="J171" s="83"/>
      <c r="K171" s="83"/>
      <c r="L171" s="83"/>
      <c r="M171" s="83"/>
      <c r="N171" s="83"/>
      <c r="P171" s="7"/>
      <c r="R171" s="96"/>
      <c r="S171" s="96"/>
      <c r="T171" s="481"/>
      <c r="U171" s="105"/>
      <c r="V171" s="106"/>
      <c r="W171" s="105"/>
      <c r="X171" s="106"/>
      <c r="Y171" s="83"/>
      <c r="Z171" s="83"/>
      <c r="AA171" s="83"/>
      <c r="AB171" s="83"/>
      <c r="AC171" s="83"/>
    </row>
    <row r="172" spans="1:29" x14ac:dyDescent="0.2">
      <c r="A172" s="7"/>
      <c r="C172" s="96"/>
      <c r="D172" s="96"/>
      <c r="E172" s="481" t="s">
        <v>157</v>
      </c>
      <c r="F172" s="105">
        <f>ROUND(O170-O168,3)</f>
        <v>4.3410000000000002</v>
      </c>
      <c r="G172" s="106"/>
      <c r="H172" s="105"/>
      <c r="I172" s="106"/>
      <c r="J172" s="83"/>
      <c r="K172" s="83"/>
      <c r="L172" s="83"/>
      <c r="M172" s="83"/>
      <c r="N172" s="83"/>
      <c r="P172" s="7"/>
      <c r="R172" s="96"/>
      <c r="S172" s="96"/>
      <c r="T172" s="481"/>
      <c r="U172" s="105"/>
      <c r="V172" s="106"/>
      <c r="W172" s="105"/>
      <c r="X172" s="106"/>
      <c r="Y172" s="83"/>
      <c r="Z172" s="83"/>
      <c r="AA172" s="83"/>
      <c r="AB172" s="83"/>
      <c r="AC172" s="83"/>
    </row>
    <row r="173" spans="1:29" x14ac:dyDescent="0.2">
      <c r="A173" s="7"/>
      <c r="C173" s="83"/>
      <c r="D173" s="83"/>
      <c r="E173" s="106"/>
      <c r="F173" s="106"/>
      <c r="G173" s="106"/>
      <c r="H173" s="106"/>
      <c r="I173" s="106"/>
      <c r="J173" s="83"/>
      <c r="K173" s="83"/>
      <c r="L173" s="83"/>
      <c r="M173" s="83"/>
      <c r="N173" s="83"/>
      <c r="P173" s="7"/>
      <c r="R173" s="83"/>
      <c r="S173" s="83"/>
      <c r="T173" s="106"/>
      <c r="U173" s="106"/>
      <c r="V173" s="106"/>
      <c r="W173" s="106"/>
      <c r="X173" s="106"/>
      <c r="Y173" s="83"/>
      <c r="Z173" s="83"/>
      <c r="AA173" s="83"/>
      <c r="AB173" s="83"/>
      <c r="AC173" s="83"/>
    </row>
    <row r="174" spans="1:29" x14ac:dyDescent="0.2">
      <c r="A174" s="7"/>
      <c r="B174" s="23" t="s">
        <v>18</v>
      </c>
      <c r="C174" s="81"/>
      <c r="D174" s="81"/>
      <c r="E174" s="105">
        <f>ROUND(E139/$D$155,3)</f>
        <v>1.056</v>
      </c>
      <c r="F174" s="105">
        <f>ROUND(F139/$D$155,3)</f>
        <v>1.218</v>
      </c>
      <c r="G174" s="105">
        <f>ROUND(G139/$D$155,3)</f>
        <v>0.995</v>
      </c>
      <c r="H174" s="105"/>
      <c r="I174" s="105">
        <f>ROUND(I139/$D$155,3)</f>
        <v>0.75</v>
      </c>
      <c r="J174" s="81"/>
      <c r="K174" s="81"/>
      <c r="L174" s="81"/>
      <c r="M174" s="81"/>
      <c r="N174" s="81"/>
      <c r="P174" s="7"/>
      <c r="Q174" s="23"/>
      <c r="R174" s="81"/>
      <c r="S174" s="81"/>
      <c r="T174" s="105"/>
      <c r="U174" s="105"/>
      <c r="V174" s="105"/>
      <c r="W174" s="105"/>
      <c r="X174" s="105"/>
      <c r="Y174" s="81"/>
      <c r="Z174" s="81"/>
      <c r="AA174" s="83"/>
      <c r="AB174" s="83"/>
      <c r="AC174" s="83"/>
    </row>
    <row r="175" spans="1:29" x14ac:dyDescent="0.2">
      <c r="A175" s="7"/>
      <c r="B175" s="63" t="s">
        <v>72</v>
      </c>
      <c r="C175" s="83"/>
      <c r="D175" s="83"/>
      <c r="E175" s="105">
        <f>ROUND(E140/$D$155,3)</f>
        <v>1.609</v>
      </c>
      <c r="F175" s="106"/>
      <c r="G175" s="106"/>
      <c r="H175" s="105">
        <f>ROUND(H140/$D$155,3)</f>
        <v>1.1859999999999999</v>
      </c>
      <c r="I175" s="106"/>
      <c r="J175" s="83"/>
      <c r="K175" s="83"/>
      <c r="L175" s="83"/>
      <c r="M175" s="83"/>
      <c r="N175" s="83"/>
      <c r="P175" s="7"/>
      <c r="Q175" s="63"/>
      <c r="R175" s="83"/>
      <c r="S175" s="83"/>
      <c r="T175" s="105"/>
      <c r="U175" s="106"/>
      <c r="V175" s="106"/>
      <c r="W175" s="105"/>
      <c r="X175" s="106"/>
      <c r="Y175" s="83"/>
      <c r="Z175" s="83"/>
      <c r="AA175" s="81"/>
      <c r="AB175" s="81"/>
      <c r="AC175" s="81"/>
    </row>
    <row r="176" spans="1:29" x14ac:dyDescent="0.2">
      <c r="A176" s="7"/>
      <c r="B176" s="63" t="s">
        <v>73</v>
      </c>
      <c r="C176" s="83"/>
      <c r="D176" s="83"/>
      <c r="E176" s="105">
        <f>ROUND(E141/$D$155,3)</f>
        <v>0.748</v>
      </c>
      <c r="F176" s="106"/>
      <c r="G176" s="106"/>
      <c r="H176" s="105">
        <f>ROUND(H141/$D$155,3)</f>
        <v>0.73599999999999999</v>
      </c>
      <c r="I176" s="106"/>
      <c r="J176" s="83"/>
      <c r="K176" s="83"/>
      <c r="L176" s="83"/>
      <c r="M176" s="83"/>
      <c r="N176" s="83"/>
      <c r="P176" s="7"/>
      <c r="Q176" s="63"/>
      <c r="R176" s="83"/>
      <c r="S176" s="83"/>
      <c r="T176" s="105"/>
      <c r="U176" s="106"/>
      <c r="V176" s="106"/>
      <c r="W176" s="105"/>
      <c r="X176" s="106"/>
      <c r="Y176" s="83"/>
      <c r="Z176" s="83"/>
      <c r="AA176" s="83"/>
      <c r="AB176" s="83"/>
      <c r="AC176" s="83"/>
    </row>
    <row r="177" spans="1:29" x14ac:dyDescent="0.2">
      <c r="A177" s="7"/>
      <c r="C177" s="82"/>
      <c r="D177" s="82"/>
      <c r="E177" s="494"/>
      <c r="F177" s="494"/>
      <c r="G177" s="494"/>
      <c r="H177" s="494"/>
      <c r="I177" s="494"/>
      <c r="J177" s="82"/>
      <c r="K177" s="82"/>
      <c r="L177" s="82"/>
      <c r="M177" s="82"/>
      <c r="N177" s="82"/>
      <c r="P177" s="7"/>
      <c r="R177" s="83"/>
      <c r="S177" s="83"/>
      <c r="T177" s="106"/>
      <c r="U177" s="106"/>
      <c r="V177" s="106"/>
      <c r="W177" s="106"/>
      <c r="X177" s="106"/>
      <c r="Y177" s="83"/>
      <c r="Z177" s="83"/>
      <c r="AA177" s="83"/>
      <c r="AB177" s="83"/>
      <c r="AC177" s="83"/>
    </row>
    <row r="178" spans="1:29" x14ac:dyDescent="0.2">
      <c r="A178" s="7"/>
      <c r="B178" t="s">
        <v>107</v>
      </c>
      <c r="C178" s="82"/>
      <c r="D178" s="82"/>
      <c r="E178" s="495">
        <f>ROUND(E143/$D$155,3)</f>
        <v>1.0509999999999999</v>
      </c>
      <c r="F178" s="495">
        <f>ROUND(F143/$D$155,3)</f>
        <v>1.1719999999999999</v>
      </c>
      <c r="G178" s="495">
        <f>ROUND(G143/$D$155,3)</f>
        <v>0.997</v>
      </c>
      <c r="H178" s="495">
        <f>ROUND(H143/$D$155,3)</f>
        <v>0.94299999999999995</v>
      </c>
      <c r="I178" s="495">
        <f>ROUND(I143/$D$155,3)</f>
        <v>0.74099999999999999</v>
      </c>
      <c r="J178" s="82"/>
      <c r="K178" s="82"/>
      <c r="L178" s="82"/>
      <c r="M178" s="82"/>
      <c r="N178" s="82"/>
      <c r="P178" s="7"/>
      <c r="R178" s="83"/>
      <c r="S178" s="83"/>
      <c r="T178" s="105"/>
      <c r="U178" s="105"/>
      <c r="V178" s="105"/>
      <c r="W178" s="105"/>
      <c r="X178" s="105"/>
      <c r="Y178" s="83"/>
      <c r="Z178" s="83"/>
      <c r="AA178" s="82"/>
      <c r="AB178" s="82"/>
      <c r="AC178" s="82"/>
    </row>
    <row r="179" spans="1:29" x14ac:dyDescent="0.2">
      <c r="A179" s="7"/>
      <c r="D179" s="289"/>
      <c r="P179" s="7"/>
      <c r="AA179" s="82"/>
      <c r="AB179" s="82"/>
      <c r="AC179" s="82"/>
    </row>
    <row r="180" spans="1:29" x14ac:dyDescent="0.2">
      <c r="A180" s="7"/>
      <c r="E180" s="227"/>
      <c r="F180" s="227"/>
      <c r="G180" s="227"/>
      <c r="H180" s="227"/>
      <c r="I180" s="227"/>
      <c r="P180" s="7"/>
    </row>
    <row r="181" spans="1:29" x14ac:dyDescent="0.2">
      <c r="A181" s="7"/>
      <c r="B181" s="1" t="s">
        <v>99</v>
      </c>
      <c r="P181" s="7"/>
      <c r="Q181" s="1"/>
    </row>
    <row r="182" spans="1:29" x14ac:dyDescent="0.2">
      <c r="A182" s="7"/>
      <c r="B182" s="15" t="s">
        <v>345</v>
      </c>
      <c r="I182" s="482"/>
      <c r="P182" s="7"/>
      <c r="Q182" s="15"/>
      <c r="X182" s="482"/>
    </row>
    <row r="183" spans="1:29" x14ac:dyDescent="0.2">
      <c r="A183" s="7"/>
      <c r="B183" s="18"/>
      <c r="P183" s="7"/>
      <c r="Q183" s="18"/>
    </row>
    <row r="184" spans="1:29" x14ac:dyDescent="0.2">
      <c r="A184" s="7"/>
      <c r="B184" s="32" t="s">
        <v>101</v>
      </c>
      <c r="C184" s="2"/>
      <c r="D184" s="2"/>
      <c r="E184" s="2"/>
      <c r="F184" s="2"/>
      <c r="I184" s="1"/>
      <c r="P184" s="7"/>
      <c r="Q184" s="32"/>
      <c r="R184" s="2"/>
      <c r="S184" s="2"/>
      <c r="T184" s="2"/>
      <c r="U184" s="2"/>
      <c r="X184" s="1"/>
    </row>
    <row r="185" spans="1:29" x14ac:dyDescent="0.2">
      <c r="A185" s="12" t="s">
        <v>251</v>
      </c>
      <c r="P185" s="12"/>
    </row>
    <row r="186" spans="1:29" x14ac:dyDescent="0.2">
      <c r="B186" s="257"/>
      <c r="E186" s="5"/>
      <c r="F186" s="5"/>
      <c r="G186" s="5"/>
      <c r="H186" s="5"/>
      <c r="I186" s="5"/>
      <c r="Q186" s="257"/>
      <c r="T186" s="5"/>
      <c r="U186" s="5"/>
      <c r="V186" s="5"/>
      <c r="W186" s="5"/>
      <c r="X186" s="5"/>
    </row>
    <row r="187" spans="1:29" hidden="1" x14ac:dyDescent="0.2">
      <c r="B187" s="23"/>
      <c r="E187" s="483"/>
      <c r="G187" s="483"/>
      <c r="H187" s="483"/>
      <c r="I187" s="483"/>
      <c r="Q187" s="23"/>
      <c r="T187" s="483"/>
      <c r="V187" s="483"/>
      <c r="W187" s="483"/>
      <c r="X187" s="483"/>
    </row>
    <row r="188" spans="1:29" hidden="1" x14ac:dyDescent="0.2">
      <c r="B188" s="63"/>
      <c r="E188" s="483"/>
      <c r="F188" s="484"/>
      <c r="H188" s="483"/>
      <c r="Q188" s="63"/>
      <c r="T188" s="483"/>
      <c r="U188" s="484"/>
      <c r="W188" s="483"/>
    </row>
    <row r="189" spans="1:29" hidden="1" x14ac:dyDescent="0.2">
      <c r="B189" s="63"/>
      <c r="E189" s="483"/>
      <c r="F189" s="484"/>
      <c r="H189" s="483"/>
      <c r="Q189" s="63"/>
      <c r="T189" s="483"/>
      <c r="U189" s="484"/>
      <c r="W189" s="483"/>
    </row>
    <row r="190" spans="1:29" hidden="1" x14ac:dyDescent="0.2">
      <c r="B190" s="23"/>
      <c r="E190" s="483"/>
      <c r="F190" s="484"/>
      <c r="G190" s="483"/>
      <c r="I190" s="483"/>
      <c r="Q190" s="23"/>
      <c r="T190" s="483"/>
      <c r="U190" s="484"/>
      <c r="V190" s="483"/>
      <c r="X190" s="483"/>
    </row>
    <row r="191" spans="1:29" hidden="1" x14ac:dyDescent="0.2">
      <c r="B191" s="63"/>
      <c r="E191" s="483"/>
      <c r="H191" s="483"/>
      <c r="Q191" s="63"/>
      <c r="T191" s="483"/>
      <c r="W191" s="483"/>
    </row>
    <row r="192" spans="1:29" hidden="1" x14ac:dyDescent="0.2">
      <c r="B192" s="63"/>
      <c r="E192" s="483"/>
      <c r="H192" s="483"/>
      <c r="Q192" s="63"/>
      <c r="T192" s="483"/>
      <c r="W192" s="483"/>
    </row>
    <row r="193" spans="2:24" hidden="1" x14ac:dyDescent="0.2"/>
    <row r="194" spans="2:24" hidden="1" x14ac:dyDescent="0.2">
      <c r="B194" s="257"/>
      <c r="Q194" s="257"/>
    </row>
    <row r="195" spans="2:24" x14ac:dyDescent="0.2">
      <c r="B195" s="23"/>
      <c r="Q195" s="23"/>
    </row>
    <row r="196" spans="2:24" x14ac:dyDescent="0.2">
      <c r="B196" s="63"/>
      <c r="F196" s="485"/>
      <c r="Q196" s="63"/>
      <c r="U196" s="485"/>
    </row>
    <row r="197" spans="2:24" x14ac:dyDescent="0.2">
      <c r="B197" s="63"/>
      <c r="F197" s="485"/>
      <c r="Q197" s="63"/>
      <c r="U197" s="485"/>
    </row>
    <row r="198" spans="2:24" x14ac:dyDescent="0.2">
      <c r="B198" s="23"/>
      <c r="F198" s="485"/>
      <c r="Q198" s="23"/>
      <c r="U198" s="485"/>
    </row>
    <row r="199" spans="2:24" x14ac:dyDescent="0.2">
      <c r="B199" s="63"/>
      <c r="Q199" s="63"/>
    </row>
    <row r="200" spans="2:24" x14ac:dyDescent="0.2">
      <c r="B200" s="63"/>
      <c r="Q200" s="63"/>
    </row>
    <row r="202" spans="2:24" x14ac:dyDescent="0.2">
      <c r="B202" s="257"/>
      <c r="Q202" s="257"/>
    </row>
    <row r="203" spans="2:24" x14ac:dyDescent="0.2">
      <c r="B203" s="23"/>
      <c r="E203" s="454"/>
      <c r="G203" s="454"/>
      <c r="I203" s="454"/>
      <c r="Q203" s="23"/>
      <c r="T203" s="454"/>
      <c r="V203" s="454"/>
      <c r="X203" s="454"/>
    </row>
    <row r="204" spans="2:24" x14ac:dyDescent="0.2">
      <c r="B204" s="63"/>
      <c r="E204" s="454"/>
      <c r="F204" s="454"/>
      <c r="H204" s="454"/>
      <c r="Q204" s="63"/>
      <c r="T204" s="454"/>
      <c r="U204" s="454"/>
      <c r="W204" s="454"/>
    </row>
    <row r="205" spans="2:24" x14ac:dyDescent="0.2">
      <c r="B205" s="63"/>
      <c r="E205" s="454"/>
      <c r="F205" s="454"/>
      <c r="H205" s="454"/>
      <c r="Q205" s="63"/>
      <c r="T205" s="454"/>
      <c r="U205" s="454"/>
      <c r="W205" s="454"/>
    </row>
    <row r="206" spans="2:24" x14ac:dyDescent="0.2">
      <c r="B206" s="23"/>
      <c r="E206" s="454"/>
      <c r="F206" s="454"/>
      <c r="G206" s="454"/>
      <c r="I206" s="454"/>
      <c r="Q206" s="23"/>
      <c r="T206" s="454"/>
      <c r="U206" s="454"/>
      <c r="V206" s="454"/>
      <c r="X206" s="454"/>
    </row>
    <row r="207" spans="2:24" x14ac:dyDescent="0.2">
      <c r="B207" s="63"/>
      <c r="E207" s="454"/>
      <c r="H207" s="454"/>
      <c r="Q207" s="63"/>
      <c r="T207" s="454"/>
      <c r="W207" s="454"/>
    </row>
    <row r="208" spans="2:24" x14ac:dyDescent="0.2">
      <c r="B208" s="63"/>
      <c r="E208" s="454"/>
      <c r="H208" s="454"/>
      <c r="O208" s="257"/>
      <c r="Q208" s="63"/>
      <c r="T208" s="454"/>
      <c r="W208" s="454"/>
    </row>
    <row r="209" spans="10:30" x14ac:dyDescent="0.2">
      <c r="J209" s="454"/>
      <c r="O209" s="454"/>
      <c r="Y209" s="454"/>
    </row>
    <row r="210" spans="10:30" x14ac:dyDescent="0.2">
      <c r="W210" s="257"/>
      <c r="X210" s="257"/>
      <c r="Y210" s="474"/>
    </row>
    <row r="211" spans="10:30" x14ac:dyDescent="0.2">
      <c r="J211" s="454"/>
      <c r="O211" s="313"/>
      <c r="Q211" s="458"/>
      <c r="R211" s="458"/>
      <c r="Y211" s="312"/>
      <c r="Z211" s="257"/>
      <c r="AA211" s="257"/>
      <c r="AC211" s="496"/>
      <c r="AD211" s="257"/>
    </row>
    <row r="213" spans="10:30" x14ac:dyDescent="0.2">
      <c r="J213" s="68"/>
      <c r="Y213" s="454"/>
      <c r="Z213" s="257"/>
    </row>
    <row r="214" spans="10:30" x14ac:dyDescent="0.2">
      <c r="J214" s="454"/>
    </row>
    <row r="215" spans="10:30" x14ac:dyDescent="0.2">
      <c r="J215" s="68"/>
      <c r="Y215" s="291"/>
      <c r="Z215" s="257"/>
      <c r="AA215" s="257"/>
    </row>
    <row r="216" spans="10:30" x14ac:dyDescent="0.2">
      <c r="J216" s="454"/>
    </row>
    <row r="217" spans="10:30" x14ac:dyDescent="0.2">
      <c r="J217" s="3"/>
      <c r="Z217" s="100"/>
    </row>
  </sheetData>
  <mergeCells count="12">
    <mergeCell ref="B156:N156"/>
    <mergeCell ref="B157:N157"/>
    <mergeCell ref="B1:N1"/>
    <mergeCell ref="B2:N2"/>
    <mergeCell ref="B5:N5"/>
    <mergeCell ref="B101:N101"/>
    <mergeCell ref="B54:N54"/>
    <mergeCell ref="B55:N55"/>
    <mergeCell ref="B56:N56"/>
    <mergeCell ref="B100:N100"/>
    <mergeCell ref="B3:N3"/>
    <mergeCell ref="B102:N102"/>
  </mergeCells>
  <phoneticPr fontId="34" type="noConversion"/>
  <pageMargins left="0.7" right="0.7" top="0.75" bottom="0.75" header="0.3" footer="0.3"/>
  <pageSetup scale="72" fitToHeight="0" orientation="landscape" r:id="rId1"/>
  <headerFooter alignWithMargins="0">
    <oddFooter>&amp;L&amp;F    &amp;A&amp;CPage &amp;P of &amp;N&amp;R&amp;D</oddFooter>
  </headerFooter>
  <rowBreaks count="3" manualBreakCount="3">
    <brk id="53" max="9" man="1"/>
    <brk id="98" max="9" man="1"/>
    <brk id="155" max="9" man="1"/>
  </rowBreaks>
  <colBreaks count="1" manualBreakCount="1">
    <brk id="15" max="21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AEF64-EDF1-4B4C-85B4-E9D9D6213CC9}">
  <sheetPr codeName="Sheet11">
    <pageSetUpPr fitToPage="1"/>
  </sheetPr>
  <dimension ref="A1:P58"/>
  <sheetViews>
    <sheetView view="pageBreakPreview" zoomScaleNormal="100" zoomScaleSheetLayoutView="100" workbookViewId="0"/>
  </sheetViews>
  <sheetFormatPr defaultColWidth="8.85546875" defaultRowHeight="12.75" x14ac:dyDescent="0.2"/>
  <cols>
    <col min="1" max="1" width="5.5703125" style="260" customWidth="1"/>
    <col min="2" max="2" width="39" style="260" customWidth="1"/>
    <col min="3" max="3" width="16.85546875" style="260" customWidth="1"/>
    <col min="4" max="4" width="17.28515625" style="260" customWidth="1"/>
    <col min="5" max="5" width="15.7109375" style="260" customWidth="1"/>
    <col min="6" max="6" width="18.7109375" style="260" customWidth="1"/>
    <col min="7" max="7" width="21" style="260" customWidth="1"/>
    <col min="8" max="8" width="20.7109375" style="260" customWidth="1"/>
    <col min="9" max="16384" width="8.85546875" style="260"/>
  </cols>
  <sheetData>
    <row r="1" spans="1:16" ht="15.75" x14ac:dyDescent="0.25">
      <c r="A1" s="12"/>
      <c r="B1" s="504" t="s">
        <v>69</v>
      </c>
      <c r="C1" s="504"/>
      <c r="D1" s="504"/>
      <c r="E1" s="504"/>
      <c r="F1" s="504"/>
    </row>
    <row r="2" spans="1:16" ht="15.75" x14ac:dyDescent="0.25">
      <c r="A2" s="12"/>
      <c r="B2" s="504" t="s">
        <v>403</v>
      </c>
      <c r="C2" s="504"/>
      <c r="D2" s="504"/>
      <c r="E2" s="504"/>
      <c r="F2" s="504"/>
    </row>
    <row r="3" spans="1:16" ht="33" customHeight="1" x14ac:dyDescent="0.25">
      <c r="A3" s="12"/>
      <c r="B3" s="505" t="s">
        <v>336</v>
      </c>
      <c r="C3" s="504"/>
      <c r="D3" s="504"/>
      <c r="E3" s="504"/>
      <c r="F3" s="504"/>
    </row>
    <row r="4" spans="1:16" ht="15.75" x14ac:dyDescent="0.25">
      <c r="A4" s="12"/>
      <c r="B4" s="140"/>
      <c r="C4" s="140"/>
      <c r="D4" s="140"/>
      <c r="E4" s="140"/>
      <c r="F4" s="140"/>
    </row>
    <row r="5" spans="1:16" ht="18" x14ac:dyDescent="0.25">
      <c r="A5" s="506" t="s">
        <v>359</v>
      </c>
      <c r="B5" s="506"/>
      <c r="C5" s="506"/>
      <c r="D5" s="506"/>
      <c r="E5" s="506"/>
      <c r="F5" s="506"/>
    </row>
    <row r="7" spans="1:16" ht="76.5" x14ac:dyDescent="0.2">
      <c r="C7" s="347" t="s">
        <v>361</v>
      </c>
      <c r="D7" s="348" t="s">
        <v>316</v>
      </c>
      <c r="E7" s="349"/>
      <c r="H7" s="260" t="s">
        <v>251</v>
      </c>
    </row>
    <row r="8" spans="1:16" ht="27.6" customHeight="1" x14ac:dyDescent="0.2">
      <c r="A8" s="300">
        <v>1</v>
      </c>
      <c r="B8" s="354" t="s">
        <v>346</v>
      </c>
      <c r="C8" s="432">
        <v>333.69</v>
      </c>
      <c r="D8" s="511" t="s">
        <v>377</v>
      </c>
      <c r="E8" s="511"/>
      <c r="F8" s="511"/>
      <c r="G8" s="394"/>
      <c r="H8" s="260" t="s">
        <v>251</v>
      </c>
    </row>
    <row r="9" spans="1:16" x14ac:dyDescent="0.2">
      <c r="A9" s="300">
        <v>2</v>
      </c>
      <c r="B9" s="378" t="s">
        <v>327</v>
      </c>
      <c r="C9" s="433">
        <v>270.35000000000002</v>
      </c>
      <c r="D9" s="511" t="s">
        <v>378</v>
      </c>
      <c r="E9" s="511"/>
      <c r="F9" s="511"/>
      <c r="G9" s="300"/>
    </row>
    <row r="10" spans="1:16" ht="14.45" customHeight="1" x14ac:dyDescent="0.2">
      <c r="A10" s="300">
        <v>3</v>
      </c>
      <c r="B10" s="377" t="s">
        <v>328</v>
      </c>
      <c r="C10" s="396">
        <f>C8-C9</f>
        <v>63.339999999999975</v>
      </c>
      <c r="D10" s="512" t="s">
        <v>413</v>
      </c>
      <c r="E10" s="404"/>
      <c r="F10" s="404"/>
      <c r="G10" s="300"/>
    </row>
    <row r="11" spans="1:16" ht="12.95" customHeight="1" x14ac:dyDescent="0.2">
      <c r="A11" s="300">
        <f>A10+1</f>
        <v>4</v>
      </c>
      <c r="B11" s="351" t="s">
        <v>317</v>
      </c>
      <c r="C11" s="397">
        <f>'BGS PTY25 Cost Alloc'!J164</f>
        <v>4594.2896539167605</v>
      </c>
      <c r="D11" s="501" t="s">
        <v>404</v>
      </c>
      <c r="E11" s="501"/>
      <c r="F11" s="501"/>
      <c r="G11" s="408"/>
    </row>
    <row r="12" spans="1:16" x14ac:dyDescent="0.2">
      <c r="A12" s="300">
        <f t="shared" ref="A12:A20" si="0">A11+1</f>
        <v>5</v>
      </c>
      <c r="B12" s="351" t="s">
        <v>318</v>
      </c>
      <c r="C12" s="398">
        <v>366</v>
      </c>
      <c r="D12" s="352"/>
      <c r="E12" s="352"/>
      <c r="F12" s="300"/>
      <c r="G12" s="300"/>
      <c r="I12" s="290"/>
    </row>
    <row r="13" spans="1:16" x14ac:dyDescent="0.2">
      <c r="A13" s="300">
        <f t="shared" si="0"/>
        <v>6</v>
      </c>
      <c r="B13" s="351" t="s">
        <v>331</v>
      </c>
      <c r="C13" s="399">
        <f>C10*C11*C12</f>
        <v>106506844.24454603</v>
      </c>
      <c r="D13" s="303" t="s">
        <v>319</v>
      </c>
      <c r="E13" s="352"/>
      <c r="F13" s="300"/>
      <c r="G13" s="300"/>
      <c r="I13" s="290"/>
      <c r="O13" s="290"/>
    </row>
    <row r="14" spans="1:16" x14ac:dyDescent="0.2">
      <c r="A14" s="300">
        <f t="shared" si="0"/>
        <v>7</v>
      </c>
      <c r="B14" s="351" t="s">
        <v>320</v>
      </c>
      <c r="C14" s="431">
        <v>18</v>
      </c>
      <c r="D14" s="352"/>
      <c r="E14" s="352"/>
      <c r="F14" s="300"/>
      <c r="G14" s="300"/>
      <c r="I14" s="393"/>
      <c r="J14" s="360"/>
      <c r="O14" s="290"/>
      <c r="P14" s="360"/>
    </row>
    <row r="15" spans="1:16" x14ac:dyDescent="0.2">
      <c r="A15" s="300">
        <f t="shared" si="0"/>
        <v>8</v>
      </c>
      <c r="B15" s="351" t="s">
        <v>321</v>
      </c>
      <c r="C15" s="400">
        <f>E38</f>
        <v>53</v>
      </c>
      <c r="D15" s="352"/>
      <c r="E15" s="352"/>
      <c r="F15" s="300"/>
      <c r="G15" s="300"/>
      <c r="J15" s="360"/>
      <c r="P15" s="360"/>
    </row>
    <row r="16" spans="1:16" ht="18" customHeight="1" x14ac:dyDescent="0.2">
      <c r="A16" s="300">
        <f t="shared" si="0"/>
        <v>9</v>
      </c>
      <c r="B16" s="351" t="s">
        <v>332</v>
      </c>
      <c r="C16" s="401">
        <f>C14/C15</f>
        <v>0.33962264150943394</v>
      </c>
      <c r="D16" s="303" t="s">
        <v>322</v>
      </c>
      <c r="E16" s="352"/>
      <c r="F16" s="300"/>
      <c r="G16" s="300"/>
      <c r="J16" s="360"/>
      <c r="P16" s="360"/>
    </row>
    <row r="17" spans="1:7" s="353" customFormat="1" ht="18" customHeight="1" x14ac:dyDescent="0.2">
      <c r="A17" s="353">
        <f t="shared" si="0"/>
        <v>10</v>
      </c>
      <c r="B17" s="354" t="s">
        <v>333</v>
      </c>
      <c r="C17" s="399">
        <f>C13*C16</f>
        <v>36172135.781166576</v>
      </c>
      <c r="D17" s="303" t="s">
        <v>323</v>
      </c>
      <c r="E17" s="352"/>
      <c r="F17" s="300"/>
      <c r="G17" s="300"/>
    </row>
    <row r="18" spans="1:7" ht="26.1" customHeight="1" x14ac:dyDescent="0.2">
      <c r="A18" s="300">
        <f t="shared" si="0"/>
        <v>11</v>
      </c>
      <c r="B18" s="301" t="s">
        <v>334</v>
      </c>
      <c r="C18" s="400">
        <f>F45+F46</f>
        <v>17593922</v>
      </c>
      <c r="D18" s="501" t="s">
        <v>393</v>
      </c>
      <c r="E18" s="501"/>
      <c r="F18" s="501"/>
      <c r="G18" s="408"/>
    </row>
    <row r="19" spans="1:7" ht="25.5" x14ac:dyDescent="0.2">
      <c r="A19" s="300">
        <f t="shared" si="0"/>
        <v>12</v>
      </c>
      <c r="B19" s="301" t="s">
        <v>335</v>
      </c>
      <c r="C19" s="402">
        <f>C18*C16</f>
        <v>5975294.2641509427</v>
      </c>
      <c r="D19" s="303" t="s">
        <v>324</v>
      </c>
      <c r="E19" s="352"/>
      <c r="F19" s="300"/>
      <c r="G19" s="300"/>
    </row>
    <row r="20" spans="1:7" ht="18" customHeight="1" x14ac:dyDescent="0.2">
      <c r="A20" s="260">
        <f t="shared" si="0"/>
        <v>13</v>
      </c>
      <c r="B20" s="350" t="s">
        <v>329</v>
      </c>
      <c r="C20" s="403">
        <f>ROUND(C17/C19,2)</f>
        <v>6.05</v>
      </c>
      <c r="D20" s="303" t="s">
        <v>325</v>
      </c>
      <c r="E20" s="352"/>
      <c r="F20" s="300"/>
      <c r="G20" s="300"/>
    </row>
    <row r="21" spans="1:7" x14ac:dyDescent="0.2">
      <c r="A21" s="300"/>
      <c r="B21" s="301"/>
      <c r="C21" s="302"/>
      <c r="D21" s="303"/>
      <c r="E21" s="352"/>
    </row>
    <row r="22" spans="1:7" x14ac:dyDescent="0.2">
      <c r="A22" s="260" t="s">
        <v>315</v>
      </c>
      <c r="B22" s="301"/>
      <c r="C22" s="302"/>
      <c r="D22" s="303"/>
      <c r="E22" s="352"/>
    </row>
    <row r="23" spans="1:7" x14ac:dyDescent="0.2">
      <c r="A23" s="501"/>
      <c r="B23" s="501"/>
      <c r="C23" s="501"/>
      <c r="D23" s="501"/>
      <c r="E23" s="501"/>
      <c r="F23" s="501"/>
      <c r="G23" s="501"/>
    </row>
    <row r="24" spans="1:7" x14ac:dyDescent="0.2">
      <c r="A24" s="501"/>
      <c r="B24" s="501"/>
      <c r="C24" s="501"/>
      <c r="D24" s="501"/>
      <c r="E24" s="501"/>
      <c r="F24" s="501"/>
      <c r="G24" s="501"/>
    </row>
    <row r="25" spans="1:7" x14ac:dyDescent="0.2">
      <c r="A25" s="261"/>
    </row>
    <row r="26" spans="1:7" ht="15.75" x14ac:dyDescent="0.25">
      <c r="A26" s="502" t="s">
        <v>300</v>
      </c>
      <c r="B26" s="502"/>
      <c r="C26" s="502"/>
      <c r="D26" s="502"/>
      <c r="E26" s="502"/>
      <c r="F26" s="502"/>
      <c r="G26" s="502"/>
    </row>
    <row r="27" spans="1:7" ht="15.75" x14ac:dyDescent="0.25">
      <c r="A27" s="510" t="s">
        <v>367</v>
      </c>
      <c r="B27" s="510"/>
      <c r="C27" s="510"/>
      <c r="D27" s="510"/>
      <c r="E27" s="510"/>
      <c r="F27" s="510"/>
      <c r="G27" s="510"/>
    </row>
    <row r="28" spans="1:7" x14ac:dyDescent="0.2">
      <c r="F28" s="263"/>
    </row>
    <row r="29" spans="1:7" ht="53.45" customHeight="1" x14ac:dyDescent="0.2">
      <c r="B29" s="262"/>
      <c r="C29" s="264" t="s">
        <v>347</v>
      </c>
      <c r="D29" s="264" t="s">
        <v>353</v>
      </c>
      <c r="E29" s="264" t="s">
        <v>360</v>
      </c>
      <c r="F29" s="264" t="s">
        <v>301</v>
      </c>
    </row>
    <row r="30" spans="1:7" x14ac:dyDescent="0.2">
      <c r="B30" s="262"/>
      <c r="C30" s="361" t="s">
        <v>348</v>
      </c>
      <c r="D30" s="361" t="s">
        <v>354</v>
      </c>
      <c r="E30" s="361" t="s">
        <v>358</v>
      </c>
      <c r="F30" s="264"/>
    </row>
    <row r="31" spans="1:7" ht="25.5" x14ac:dyDescent="0.2">
      <c r="B31" s="265"/>
      <c r="C31" s="266" t="s">
        <v>287</v>
      </c>
      <c r="D31" s="266" t="s">
        <v>288</v>
      </c>
      <c r="E31" s="267" t="s">
        <v>289</v>
      </c>
      <c r="F31" s="266"/>
    </row>
    <row r="32" spans="1:7" x14ac:dyDescent="0.2">
      <c r="C32" s="268"/>
      <c r="D32" s="268"/>
      <c r="E32" s="268"/>
      <c r="F32" s="298"/>
    </row>
    <row r="33" spans="1:8" x14ac:dyDescent="0.2">
      <c r="A33" s="290"/>
      <c r="B33" s="269" t="s">
        <v>290</v>
      </c>
      <c r="C33" s="429">
        <v>110.96</v>
      </c>
      <c r="D33" s="429">
        <v>113.27</v>
      </c>
      <c r="E33" s="410">
        <f>D35</f>
        <v>113.27</v>
      </c>
      <c r="F33" s="250"/>
      <c r="G33" s="260" t="s">
        <v>251</v>
      </c>
      <c r="H33" s="271"/>
    </row>
    <row r="34" spans="1:8" x14ac:dyDescent="0.2">
      <c r="A34" s="290"/>
      <c r="B34" s="272" t="s">
        <v>352</v>
      </c>
      <c r="C34" s="355">
        <f>C20</f>
        <v>6.05</v>
      </c>
      <c r="D34" s="362"/>
      <c r="E34" s="362"/>
      <c r="F34" s="250"/>
      <c r="G34" s="260" t="s">
        <v>251</v>
      </c>
      <c r="H34" s="271"/>
    </row>
    <row r="35" spans="1:8" x14ac:dyDescent="0.2">
      <c r="A35" s="290"/>
      <c r="C35" s="270">
        <f>C33+C34</f>
        <v>117.00999999999999</v>
      </c>
      <c r="D35" s="270">
        <f t="shared" ref="D35:E35" si="1">D33+D34</f>
        <v>113.27</v>
      </c>
      <c r="E35" s="270">
        <f t="shared" si="1"/>
        <v>113.27</v>
      </c>
      <c r="F35" s="250"/>
      <c r="H35" s="271"/>
    </row>
    <row r="36" spans="1:8" x14ac:dyDescent="0.2">
      <c r="B36" s="272" t="s">
        <v>292</v>
      </c>
      <c r="C36" s="270"/>
      <c r="D36" s="270"/>
      <c r="E36" s="270"/>
      <c r="F36" s="250"/>
      <c r="H36" s="271"/>
    </row>
    <row r="37" spans="1:8" x14ac:dyDescent="0.2">
      <c r="A37" s="290"/>
      <c r="B37" s="269" t="s">
        <v>291</v>
      </c>
      <c r="C37" s="379">
        <v>18</v>
      </c>
      <c r="D37" s="379">
        <v>15</v>
      </c>
      <c r="E37" s="379">
        <v>20</v>
      </c>
      <c r="F37" s="274"/>
    </row>
    <row r="38" spans="1:8" x14ac:dyDescent="0.2">
      <c r="A38" s="290"/>
      <c r="B38" s="269" t="s">
        <v>292</v>
      </c>
      <c r="C38" s="273">
        <f>C37+D37+E37</f>
        <v>53</v>
      </c>
      <c r="D38" s="273">
        <f>C38</f>
        <v>53</v>
      </c>
      <c r="E38" s="273">
        <f>C38</f>
        <v>53</v>
      </c>
      <c r="F38" s="251"/>
    </row>
    <row r="39" spans="1:8" x14ac:dyDescent="0.2">
      <c r="A39" s="290"/>
      <c r="B39" s="269"/>
      <c r="C39" s="252"/>
      <c r="D39" s="252"/>
      <c r="E39" s="252"/>
      <c r="F39" s="251"/>
    </row>
    <row r="40" spans="1:8" x14ac:dyDescent="0.2">
      <c r="B40" s="272" t="s">
        <v>293</v>
      </c>
      <c r="C40" s="275"/>
      <c r="D40" s="275"/>
      <c r="E40" s="276"/>
      <c r="F40" s="276"/>
      <c r="G40" s="260" t="s">
        <v>251</v>
      </c>
    </row>
    <row r="41" spans="1:8" x14ac:dyDescent="0.2">
      <c r="A41" s="290"/>
      <c r="B41" s="253" t="s">
        <v>25</v>
      </c>
      <c r="C41" s="439">
        <v>1</v>
      </c>
      <c r="D41" s="439">
        <v>1</v>
      </c>
      <c r="E41" s="439">
        <v>1</v>
      </c>
      <c r="F41" s="278"/>
    </row>
    <row r="42" spans="1:8" x14ac:dyDescent="0.2">
      <c r="A42" s="290"/>
      <c r="B42" s="253" t="s">
        <v>26</v>
      </c>
      <c r="C42" s="439">
        <v>1</v>
      </c>
      <c r="D42" s="439">
        <v>1</v>
      </c>
      <c r="E42" s="439">
        <v>1</v>
      </c>
      <c r="F42" s="279"/>
    </row>
    <row r="43" spans="1:8" x14ac:dyDescent="0.2">
      <c r="A43" s="290"/>
      <c r="B43" s="269"/>
      <c r="C43" s="280"/>
      <c r="D43" s="280"/>
      <c r="E43" s="281"/>
      <c r="F43" s="280"/>
    </row>
    <row r="44" spans="1:8" ht="25.5" customHeight="1" x14ac:dyDescent="0.2">
      <c r="B44" s="282" t="s">
        <v>294</v>
      </c>
      <c r="C44" s="280"/>
      <c r="D44" s="281"/>
      <c r="E44" s="281"/>
      <c r="F44" s="280"/>
    </row>
    <row r="45" spans="1:8" x14ac:dyDescent="0.2">
      <c r="A45" s="290"/>
      <c r="B45" s="269" t="s">
        <v>295</v>
      </c>
      <c r="C45" s="283">
        <f>'BGS PTY25 Cost Alloc'!N247</f>
        <v>6942874</v>
      </c>
      <c r="D45" s="283">
        <f>C45</f>
        <v>6942874</v>
      </c>
      <c r="E45" s="283">
        <f>D45</f>
        <v>6942874</v>
      </c>
      <c r="F45" s="283">
        <f t="shared" ref="F45:F46" si="2">E45</f>
        <v>6942874</v>
      </c>
      <c r="G45" s="503" t="s">
        <v>251</v>
      </c>
    </row>
    <row r="46" spans="1:8" x14ac:dyDescent="0.2">
      <c r="A46" s="290"/>
      <c r="B46" s="269" t="s">
        <v>296</v>
      </c>
      <c r="C46" s="283">
        <f>'BGS PTY25 Cost Alloc'!N248</f>
        <v>10651048</v>
      </c>
      <c r="D46" s="283">
        <f>C46</f>
        <v>10651048</v>
      </c>
      <c r="E46" s="283">
        <f>D46</f>
        <v>10651048</v>
      </c>
      <c r="F46" s="283">
        <f t="shared" si="2"/>
        <v>10651048</v>
      </c>
      <c r="G46" s="503"/>
    </row>
    <row r="47" spans="1:8" x14ac:dyDescent="0.2">
      <c r="A47" s="290"/>
      <c r="B47" s="284"/>
      <c r="C47" s="280"/>
      <c r="D47" s="280"/>
      <c r="E47" s="281"/>
      <c r="F47" s="280"/>
    </row>
    <row r="48" spans="1:8" x14ac:dyDescent="0.2">
      <c r="B48" s="272" t="s">
        <v>302</v>
      </c>
      <c r="C48" s="280"/>
      <c r="D48" s="280"/>
      <c r="E48" s="281"/>
      <c r="F48" s="280"/>
    </row>
    <row r="49" spans="1:8" x14ac:dyDescent="0.2">
      <c r="A49" s="290"/>
      <c r="B49" s="253" t="s">
        <v>25</v>
      </c>
      <c r="C49" s="255">
        <f t="shared" ref="C49:E50" si="3">+C$33*C$37/C$38*C41*C45+C$34*C$37/C$38*C45</f>
        <v>275904572.85509431</v>
      </c>
      <c r="D49" s="255">
        <f t="shared" si="3"/>
        <v>222571510.74905661</v>
      </c>
      <c r="E49" s="255">
        <f t="shared" si="3"/>
        <v>296762014.33207548</v>
      </c>
      <c r="F49" s="255">
        <f>SUM(C49:E49)</f>
        <v>795238097.93622637</v>
      </c>
      <c r="H49" s="287"/>
    </row>
    <row r="50" spans="1:8" ht="15" x14ac:dyDescent="0.35">
      <c r="A50" s="290"/>
      <c r="B50" s="254" t="s">
        <v>26</v>
      </c>
      <c r="C50" s="256">
        <f t="shared" si="3"/>
        <v>423264608.99320757</v>
      </c>
      <c r="D50" s="256">
        <f t="shared" si="3"/>
        <v>341446473.66792452</v>
      </c>
      <c r="E50" s="256">
        <f t="shared" si="3"/>
        <v>455261964.89056605</v>
      </c>
      <c r="F50" s="256">
        <f>SUM(C50:E50)</f>
        <v>1219973047.5516982</v>
      </c>
      <c r="H50" s="287"/>
    </row>
    <row r="51" spans="1:8" x14ac:dyDescent="0.2">
      <c r="A51" s="290"/>
      <c r="B51" s="269" t="s">
        <v>13</v>
      </c>
      <c r="C51" s="285">
        <f>+C50+C49</f>
        <v>699169181.84830189</v>
      </c>
      <c r="D51" s="285">
        <f>+D50+D49</f>
        <v>564017984.4169811</v>
      </c>
      <c r="E51" s="286">
        <f>+E50+E49</f>
        <v>752023979.22264147</v>
      </c>
      <c r="F51" s="285">
        <f>+F50+F49</f>
        <v>2015211145.4879246</v>
      </c>
      <c r="H51" s="287"/>
    </row>
    <row r="52" spans="1:8" x14ac:dyDescent="0.2">
      <c r="B52" s="269"/>
      <c r="C52" s="287"/>
      <c r="D52" s="287"/>
      <c r="E52" s="287"/>
      <c r="F52" s="287"/>
      <c r="H52" s="287"/>
    </row>
    <row r="53" spans="1:8" x14ac:dyDescent="0.2">
      <c r="B53" s="269" t="s">
        <v>297</v>
      </c>
      <c r="C53" s="287"/>
      <c r="D53" s="287" t="s">
        <v>251</v>
      </c>
      <c r="E53" s="287"/>
      <c r="F53" s="319">
        <f>ROUND(F51/(F45+F46),2)</f>
        <v>114.54</v>
      </c>
      <c r="G53" s="260" t="s">
        <v>326</v>
      </c>
      <c r="H53" s="287"/>
    </row>
    <row r="54" spans="1:8" x14ac:dyDescent="0.2">
      <c r="B54" s="269"/>
      <c r="C54" s="287"/>
      <c r="D54" s="287"/>
      <c r="E54" s="287"/>
      <c r="F54" s="319"/>
    </row>
    <row r="55" spans="1:8" x14ac:dyDescent="0.2">
      <c r="B55" s="269"/>
      <c r="C55" s="287"/>
      <c r="D55" s="287"/>
      <c r="E55" s="287"/>
      <c r="F55" s="319"/>
    </row>
    <row r="56" spans="1:8" x14ac:dyDescent="0.2">
      <c r="B56" s="269"/>
    </row>
    <row r="57" spans="1:8" x14ac:dyDescent="0.2">
      <c r="A57" s="263" t="s">
        <v>251</v>
      </c>
      <c r="B57" s="263"/>
      <c r="C57" s="263"/>
      <c r="D57" s="263"/>
      <c r="E57" s="263"/>
      <c r="F57" s="263"/>
    </row>
    <row r="58" spans="1:8" ht="15.95" customHeight="1" x14ac:dyDescent="0.2">
      <c r="A58" s="263"/>
      <c r="B58" s="263"/>
      <c r="C58" s="263"/>
      <c r="D58" s="263"/>
      <c r="E58" s="263"/>
      <c r="F58" s="263"/>
    </row>
  </sheetData>
  <mergeCells count="12">
    <mergeCell ref="A27:G27"/>
    <mergeCell ref="G45:G46"/>
    <mergeCell ref="B1:F1"/>
    <mergeCell ref="B2:F2"/>
    <mergeCell ref="B3:F3"/>
    <mergeCell ref="A5:F5"/>
    <mergeCell ref="A23:G24"/>
    <mergeCell ref="A26:G26"/>
    <mergeCell ref="D9:F9"/>
    <mergeCell ref="D11:F11"/>
    <mergeCell ref="D18:F18"/>
    <mergeCell ref="D8:F8"/>
  </mergeCells>
  <pageMargins left="0.7" right="0.7" top="0.75" bottom="0.75" header="0.3" footer="0.3"/>
  <pageSetup scale="67" orientation="portrait" r:id="rId1"/>
  <headerFooter alignWithMargins="0">
    <oddFooter xml:space="preserve">&amp;C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285D6-78C7-4ED7-874D-ED2498794D80}">
  <sheetPr codeName="Sheet12">
    <pageSetUpPr fitToPage="1"/>
  </sheetPr>
  <dimension ref="A1:Q70"/>
  <sheetViews>
    <sheetView view="pageBreakPreview" zoomScaleNormal="100" zoomScaleSheetLayoutView="100" workbookViewId="0"/>
  </sheetViews>
  <sheetFormatPr defaultColWidth="8.85546875" defaultRowHeight="12.75" x14ac:dyDescent="0.2"/>
  <cols>
    <col min="1" max="1" width="5.5703125" style="260" customWidth="1"/>
    <col min="2" max="2" width="40.42578125" style="260" customWidth="1"/>
    <col min="3" max="3" width="16.7109375" style="260" customWidth="1"/>
    <col min="4" max="4" width="16.85546875" style="260" customWidth="1"/>
    <col min="5" max="5" width="15.140625" style="260" customWidth="1"/>
    <col min="6" max="6" width="17.140625" style="260" customWidth="1"/>
    <col min="7" max="7" width="50.42578125" style="260" customWidth="1"/>
    <col min="8" max="8" width="20.7109375" style="260" customWidth="1"/>
    <col min="9" max="16384" width="8.85546875" style="260"/>
  </cols>
  <sheetData>
    <row r="1" spans="1:17" ht="15.75" x14ac:dyDescent="0.25">
      <c r="A1" s="12"/>
      <c r="B1" s="504" t="s">
        <v>69</v>
      </c>
      <c r="C1" s="504"/>
      <c r="D1" s="504"/>
      <c r="E1" s="504"/>
      <c r="F1" s="504"/>
    </row>
    <row r="2" spans="1:17" ht="15.75" x14ac:dyDescent="0.25">
      <c r="A2" s="12"/>
      <c r="B2" s="504" t="s">
        <v>342</v>
      </c>
      <c r="C2" s="504"/>
      <c r="D2" s="504"/>
      <c r="E2" s="504"/>
      <c r="F2" s="504"/>
    </row>
    <row r="3" spans="1:17" ht="33" customHeight="1" x14ac:dyDescent="0.25">
      <c r="A3" s="12"/>
      <c r="B3" s="505" t="s">
        <v>336</v>
      </c>
      <c r="C3" s="504"/>
      <c r="D3" s="504"/>
      <c r="E3" s="504"/>
      <c r="F3" s="504"/>
    </row>
    <row r="4" spans="1:17" ht="15.75" x14ac:dyDescent="0.25">
      <c r="A4" s="12"/>
      <c r="B4" s="140"/>
      <c r="C4" s="140"/>
      <c r="D4" s="140"/>
      <c r="E4" s="140"/>
      <c r="F4" s="140"/>
    </row>
    <row r="5" spans="1:17" ht="18" x14ac:dyDescent="0.25">
      <c r="A5" s="506" t="s">
        <v>362</v>
      </c>
      <c r="B5" s="506"/>
      <c r="C5" s="506"/>
      <c r="D5" s="506"/>
      <c r="E5" s="506"/>
      <c r="F5" s="506"/>
    </row>
    <row r="7" spans="1:17" ht="76.5" x14ac:dyDescent="0.2">
      <c r="C7" s="347" t="s">
        <v>363</v>
      </c>
      <c r="D7" s="347" t="s">
        <v>394</v>
      </c>
      <c r="E7" s="348" t="s">
        <v>316</v>
      </c>
      <c r="F7" s="349"/>
      <c r="I7" s="260" t="s">
        <v>251</v>
      </c>
    </row>
    <row r="8" spans="1:17" ht="25.5" x14ac:dyDescent="0.2">
      <c r="A8" s="300">
        <v>1</v>
      </c>
      <c r="B8" s="354" t="s">
        <v>346</v>
      </c>
      <c r="C8" s="432">
        <v>335</v>
      </c>
      <c r="D8" s="432">
        <v>335</v>
      </c>
      <c r="E8" s="434" t="s">
        <v>357</v>
      </c>
      <c r="F8" s="394"/>
      <c r="G8" s="394"/>
      <c r="H8" s="394"/>
    </row>
    <row r="9" spans="1:17" ht="14.45" customHeight="1" x14ac:dyDescent="0.2">
      <c r="A9" s="300">
        <v>2</v>
      </c>
      <c r="B9" s="378" t="s">
        <v>327</v>
      </c>
      <c r="C9" s="433">
        <v>333.69</v>
      </c>
      <c r="D9" s="433">
        <v>333.69</v>
      </c>
      <c r="E9" s="513" t="s">
        <v>414</v>
      </c>
      <c r="F9" s="395"/>
      <c r="G9" s="395"/>
      <c r="H9" s="300"/>
    </row>
    <row r="10" spans="1:17" ht="14.45" customHeight="1" x14ac:dyDescent="0.2">
      <c r="A10" s="300">
        <v>3</v>
      </c>
      <c r="B10" s="377" t="s">
        <v>328</v>
      </c>
      <c r="C10" s="396">
        <f>C8-C9</f>
        <v>1.3100000000000023</v>
      </c>
      <c r="D10" s="396">
        <f>D8-D9</f>
        <v>1.3100000000000023</v>
      </c>
      <c r="E10" s="507" t="s">
        <v>330</v>
      </c>
      <c r="F10" s="507"/>
      <c r="G10" s="507"/>
      <c r="H10" s="300"/>
      <c r="I10" s="290"/>
    </row>
    <row r="11" spans="1:17" x14ac:dyDescent="0.2">
      <c r="A11" s="300">
        <f>A10+1</f>
        <v>4</v>
      </c>
      <c r="B11" s="351" t="s">
        <v>317</v>
      </c>
      <c r="C11" s="397">
        <f>'BGS PTY25 Cost Alloc'!J164</f>
        <v>4594.2896539167605</v>
      </c>
      <c r="D11" s="397">
        <f>C11</f>
        <v>4594.2896539167605</v>
      </c>
      <c r="E11" s="501" t="s">
        <v>395</v>
      </c>
      <c r="F11" s="501"/>
      <c r="G11" s="501"/>
      <c r="H11" s="501"/>
      <c r="I11" s="290"/>
      <c r="J11" s="346"/>
    </row>
    <row r="12" spans="1:17" x14ac:dyDescent="0.2">
      <c r="A12" s="300">
        <f t="shared" ref="A12:A20" si="0">A11+1</f>
        <v>5</v>
      </c>
      <c r="B12" s="351" t="s">
        <v>318</v>
      </c>
      <c r="C12" s="398">
        <v>365</v>
      </c>
      <c r="D12" s="398">
        <f>C12</f>
        <v>365</v>
      </c>
      <c r="E12" s="352"/>
      <c r="F12" s="352"/>
      <c r="G12" s="300"/>
      <c r="H12" s="300"/>
      <c r="I12" s="290"/>
      <c r="J12" s="407"/>
    </row>
    <row r="13" spans="1:17" x14ac:dyDescent="0.2">
      <c r="A13" s="300">
        <f t="shared" si="0"/>
        <v>6</v>
      </c>
      <c r="B13" s="351" t="s">
        <v>331</v>
      </c>
      <c r="C13" s="399">
        <f>C10*C11*C12</f>
        <v>2196759.5980203031</v>
      </c>
      <c r="D13" s="399">
        <f>D10*D11*D12</f>
        <v>2196759.5980203031</v>
      </c>
      <c r="E13" s="303" t="s">
        <v>319</v>
      </c>
      <c r="F13" s="352"/>
      <c r="G13" s="300"/>
      <c r="H13" s="300"/>
      <c r="I13" s="290"/>
      <c r="J13" s="290"/>
      <c r="P13" s="290"/>
    </row>
    <row r="14" spans="1:17" x14ac:dyDescent="0.2">
      <c r="A14" s="300">
        <f t="shared" si="0"/>
        <v>7</v>
      </c>
      <c r="B14" s="351" t="s">
        <v>320</v>
      </c>
      <c r="C14" s="431">
        <v>15</v>
      </c>
      <c r="D14" s="431">
        <v>20</v>
      </c>
      <c r="E14" s="352"/>
      <c r="F14" s="352"/>
      <c r="G14" s="300"/>
      <c r="H14" s="300"/>
      <c r="J14" s="393"/>
      <c r="K14" s="360"/>
      <c r="P14" s="290"/>
      <c r="Q14" s="360"/>
    </row>
    <row r="15" spans="1:17" x14ac:dyDescent="0.2">
      <c r="A15" s="300">
        <f t="shared" si="0"/>
        <v>8</v>
      </c>
      <c r="B15" s="351" t="s">
        <v>321</v>
      </c>
      <c r="C15" s="400">
        <f>E38</f>
        <v>53</v>
      </c>
      <c r="D15" s="400">
        <f>C15</f>
        <v>53</v>
      </c>
      <c r="E15" s="352"/>
      <c r="F15" s="352"/>
      <c r="G15" s="300"/>
      <c r="H15" s="300"/>
      <c r="K15" s="360"/>
      <c r="Q15" s="360"/>
    </row>
    <row r="16" spans="1:17" ht="18" customHeight="1" x14ac:dyDescent="0.2">
      <c r="A16" s="300">
        <f t="shared" si="0"/>
        <v>9</v>
      </c>
      <c r="B16" s="351" t="s">
        <v>332</v>
      </c>
      <c r="C16" s="401">
        <f>C14/C15</f>
        <v>0.28301886792452829</v>
      </c>
      <c r="D16" s="401">
        <f>D14/D15</f>
        <v>0.37735849056603776</v>
      </c>
      <c r="E16" s="303" t="s">
        <v>322</v>
      </c>
      <c r="F16" s="352"/>
      <c r="G16" s="300"/>
      <c r="H16" s="300"/>
      <c r="K16" s="360"/>
      <c r="Q16" s="360"/>
    </row>
    <row r="17" spans="1:8" s="353" customFormat="1" ht="18" customHeight="1" x14ac:dyDescent="0.2">
      <c r="A17" s="353">
        <f t="shared" si="0"/>
        <v>10</v>
      </c>
      <c r="B17" s="354" t="s">
        <v>333</v>
      </c>
      <c r="C17" s="399">
        <f>C13*C16</f>
        <v>621724.41453404806</v>
      </c>
      <c r="D17" s="399">
        <f>D13*D16</f>
        <v>828965.88604539749</v>
      </c>
      <c r="E17" s="303" t="s">
        <v>323</v>
      </c>
      <c r="F17" s="352"/>
      <c r="G17" s="300"/>
      <c r="H17" s="300"/>
    </row>
    <row r="18" spans="1:8" ht="25.5" x14ac:dyDescent="0.2">
      <c r="A18" s="300">
        <f t="shared" si="0"/>
        <v>11</v>
      </c>
      <c r="B18" s="301" t="s">
        <v>334</v>
      </c>
      <c r="C18" s="400">
        <f>F45+F46</f>
        <v>17593922</v>
      </c>
      <c r="D18" s="400">
        <f>C18</f>
        <v>17593922</v>
      </c>
      <c r="E18" s="501" t="s">
        <v>396</v>
      </c>
      <c r="F18" s="501"/>
      <c r="G18" s="501"/>
      <c r="H18" s="501"/>
    </row>
    <row r="19" spans="1:8" ht="25.5" x14ac:dyDescent="0.2">
      <c r="A19" s="300">
        <f t="shared" si="0"/>
        <v>12</v>
      </c>
      <c r="B19" s="301" t="s">
        <v>335</v>
      </c>
      <c r="C19" s="402">
        <f>C18*C16</f>
        <v>4979411.886792453</v>
      </c>
      <c r="D19" s="402">
        <f>D18*D16</f>
        <v>6639215.8490566043</v>
      </c>
      <c r="E19" s="303" t="s">
        <v>324</v>
      </c>
      <c r="F19" s="352"/>
      <c r="G19" s="300"/>
      <c r="H19" s="300"/>
    </row>
    <row r="20" spans="1:8" ht="18" customHeight="1" x14ac:dyDescent="0.2">
      <c r="A20" s="260">
        <f t="shared" si="0"/>
        <v>13</v>
      </c>
      <c r="B20" s="350" t="s">
        <v>329</v>
      </c>
      <c r="C20" s="403">
        <f>ROUND(C17/C19,2)</f>
        <v>0.12</v>
      </c>
      <c r="D20" s="403">
        <f>ROUND(D17/D19,2)</f>
        <v>0.12</v>
      </c>
      <c r="E20" s="303" t="s">
        <v>325</v>
      </c>
      <c r="F20" s="352"/>
      <c r="G20" s="300"/>
      <c r="H20" s="300"/>
    </row>
    <row r="21" spans="1:8" x14ac:dyDescent="0.2">
      <c r="A21" s="300"/>
      <c r="B21" s="301"/>
      <c r="C21" s="302"/>
      <c r="D21" s="303"/>
      <c r="E21" s="352"/>
    </row>
    <row r="22" spans="1:8" x14ac:dyDescent="0.2">
      <c r="A22" s="260" t="s">
        <v>315</v>
      </c>
      <c r="B22" s="301"/>
      <c r="C22" s="302"/>
      <c r="D22" s="303"/>
      <c r="E22" s="352"/>
    </row>
    <row r="23" spans="1:8" x14ac:dyDescent="0.2">
      <c r="A23" s="408"/>
      <c r="B23" s="408"/>
      <c r="C23" s="408"/>
      <c r="D23" s="408"/>
      <c r="E23" s="408"/>
      <c r="F23" s="408"/>
      <c r="G23" s="408"/>
    </row>
    <row r="24" spans="1:8" x14ac:dyDescent="0.2">
      <c r="A24" s="408"/>
      <c r="B24" s="408"/>
      <c r="C24" s="408"/>
      <c r="D24" s="408"/>
      <c r="E24" s="408"/>
      <c r="F24" s="408"/>
      <c r="G24" s="408"/>
    </row>
    <row r="25" spans="1:8" x14ac:dyDescent="0.2">
      <c r="A25" s="261"/>
    </row>
    <row r="26" spans="1:8" ht="15.75" x14ac:dyDescent="0.25">
      <c r="A26" s="502" t="s">
        <v>300</v>
      </c>
      <c r="B26" s="502"/>
      <c r="C26" s="502"/>
      <c r="D26" s="502"/>
      <c r="E26" s="502"/>
      <c r="F26" s="502"/>
      <c r="G26" s="502"/>
    </row>
    <row r="27" spans="1:8" ht="15.75" x14ac:dyDescent="0.25">
      <c r="A27" s="510" t="s">
        <v>397</v>
      </c>
      <c r="B27" s="510"/>
      <c r="C27" s="510"/>
      <c r="D27" s="510"/>
      <c r="E27" s="510"/>
      <c r="F27" s="510"/>
      <c r="G27" s="510"/>
    </row>
    <row r="28" spans="1:8" x14ac:dyDescent="0.2">
      <c r="F28" s="263"/>
    </row>
    <row r="29" spans="1:8" ht="53.45" customHeight="1" x14ac:dyDescent="0.2">
      <c r="B29" s="262"/>
      <c r="C29" s="264" t="s">
        <v>353</v>
      </c>
      <c r="D29" s="264" t="s">
        <v>360</v>
      </c>
      <c r="E29" s="264" t="s">
        <v>370</v>
      </c>
      <c r="F29" s="264" t="s">
        <v>301</v>
      </c>
    </row>
    <row r="30" spans="1:8" x14ac:dyDescent="0.2">
      <c r="B30" s="262"/>
      <c r="C30" s="361" t="s">
        <v>354</v>
      </c>
      <c r="D30" s="361" t="s">
        <v>358</v>
      </c>
      <c r="E30" s="361" t="s">
        <v>368</v>
      </c>
      <c r="F30" s="264"/>
    </row>
    <row r="31" spans="1:8" ht="25.5" x14ac:dyDescent="0.2">
      <c r="B31" s="265"/>
      <c r="C31" s="266" t="s">
        <v>287</v>
      </c>
      <c r="D31" s="266" t="s">
        <v>288</v>
      </c>
      <c r="E31" s="267" t="s">
        <v>289</v>
      </c>
      <c r="F31" s="266"/>
    </row>
    <row r="32" spans="1:8" x14ac:dyDescent="0.2">
      <c r="C32" s="268"/>
      <c r="D32" s="268"/>
      <c r="E32" s="268"/>
      <c r="F32" s="298"/>
    </row>
    <row r="33" spans="1:8" x14ac:dyDescent="0.2">
      <c r="A33" s="290"/>
      <c r="B33" s="269" t="s">
        <v>290</v>
      </c>
      <c r="C33" s="270">
        <f>'Attachment 3 - 27-28'!D33</f>
        <v>113.27</v>
      </c>
      <c r="D33" s="270">
        <f>'Attachment 3 - 27-28'!E33</f>
        <v>113.27</v>
      </c>
      <c r="E33" s="410">
        <f>D35</f>
        <v>113.39</v>
      </c>
      <c r="F33" s="250"/>
      <c r="G33" s="260" t="s">
        <v>251</v>
      </c>
      <c r="H33" s="271"/>
    </row>
    <row r="34" spans="1:8" x14ac:dyDescent="0.2">
      <c r="A34" s="290"/>
      <c r="B34" s="272" t="s">
        <v>352</v>
      </c>
      <c r="C34" s="355">
        <f>C20</f>
        <v>0.12</v>
      </c>
      <c r="D34" s="355">
        <f>D20</f>
        <v>0.12</v>
      </c>
      <c r="E34" s="362"/>
      <c r="F34" s="250"/>
      <c r="G34" s="260" t="s">
        <v>251</v>
      </c>
      <c r="H34" s="271"/>
    </row>
    <row r="35" spans="1:8" x14ac:dyDescent="0.2">
      <c r="A35" s="290"/>
      <c r="C35" s="270">
        <f>C33+C34</f>
        <v>113.39</v>
      </c>
      <c r="D35" s="270">
        <f t="shared" ref="D35:E35" si="1">D33+D34</f>
        <v>113.39</v>
      </c>
      <c r="E35" s="270">
        <f t="shared" si="1"/>
        <v>113.39</v>
      </c>
      <c r="F35" s="250"/>
      <c r="H35" s="271"/>
    </row>
    <row r="36" spans="1:8" x14ac:dyDescent="0.2">
      <c r="B36" s="272" t="s">
        <v>292</v>
      </c>
      <c r="C36" s="270"/>
      <c r="D36" s="270"/>
      <c r="E36" s="270"/>
      <c r="F36" s="250"/>
      <c r="H36" s="271"/>
    </row>
    <row r="37" spans="1:8" x14ac:dyDescent="0.2">
      <c r="A37" s="290"/>
      <c r="B37" s="269" t="s">
        <v>291</v>
      </c>
      <c r="C37" s="379">
        <v>15</v>
      </c>
      <c r="D37" s="379">
        <v>20</v>
      </c>
      <c r="E37" s="379">
        <v>18</v>
      </c>
      <c r="F37" s="274"/>
    </row>
    <row r="38" spans="1:8" x14ac:dyDescent="0.2">
      <c r="A38" s="290"/>
      <c r="B38" s="269" t="s">
        <v>292</v>
      </c>
      <c r="C38" s="273">
        <f>C37+D37+E37</f>
        <v>53</v>
      </c>
      <c r="D38" s="273">
        <f>C38</f>
        <v>53</v>
      </c>
      <c r="E38" s="273">
        <f>C38</f>
        <v>53</v>
      </c>
      <c r="F38" s="251"/>
    </row>
    <row r="39" spans="1:8" x14ac:dyDescent="0.2">
      <c r="A39" s="290"/>
      <c r="B39" s="269"/>
      <c r="C39" s="252"/>
      <c r="D39" s="252"/>
      <c r="E39" s="252"/>
      <c r="F39" s="251"/>
    </row>
    <row r="40" spans="1:8" x14ac:dyDescent="0.2">
      <c r="B40" s="272" t="s">
        <v>293</v>
      </c>
      <c r="C40" s="275"/>
      <c r="D40" s="275"/>
      <c r="E40" s="276"/>
      <c r="F40" s="276"/>
      <c r="G40" s="260" t="s">
        <v>251</v>
      </c>
    </row>
    <row r="41" spans="1:8" x14ac:dyDescent="0.2">
      <c r="A41" s="290"/>
      <c r="B41" s="253" t="s">
        <v>25</v>
      </c>
      <c r="C41" s="277">
        <v>1</v>
      </c>
      <c r="D41" s="277">
        <v>1</v>
      </c>
      <c r="E41" s="277">
        <v>1</v>
      </c>
      <c r="F41" s="278"/>
    </row>
    <row r="42" spans="1:8" x14ac:dyDescent="0.2">
      <c r="A42" s="290"/>
      <c r="B42" s="253" t="s">
        <v>26</v>
      </c>
      <c r="C42" s="277">
        <v>1</v>
      </c>
      <c r="D42" s="277">
        <v>1</v>
      </c>
      <c r="E42" s="277">
        <v>1</v>
      </c>
      <c r="F42" s="279"/>
    </row>
    <row r="43" spans="1:8" x14ac:dyDescent="0.2">
      <c r="A43" s="290"/>
      <c r="B43" s="269"/>
      <c r="C43" s="280"/>
      <c r="D43" s="280"/>
      <c r="E43" s="281"/>
      <c r="F43" s="280"/>
    </row>
    <row r="44" spans="1:8" ht="25.5" customHeight="1" x14ac:dyDescent="0.2">
      <c r="B44" s="282" t="s">
        <v>294</v>
      </c>
      <c r="C44" s="280"/>
      <c r="D44" s="281"/>
      <c r="E44" s="281"/>
      <c r="F44" s="280"/>
    </row>
    <row r="45" spans="1:8" x14ac:dyDescent="0.2">
      <c r="A45" s="290"/>
      <c r="B45" s="269" t="s">
        <v>295</v>
      </c>
      <c r="C45" s="283">
        <f>'BGS PTY25 Cost Alloc'!N247</f>
        <v>6942874</v>
      </c>
      <c r="D45" s="283">
        <f>C45</f>
        <v>6942874</v>
      </c>
      <c r="E45" s="283">
        <f>D45</f>
        <v>6942874</v>
      </c>
      <c r="F45" s="283">
        <f t="shared" ref="F45:F46" si="2">E45</f>
        <v>6942874</v>
      </c>
      <c r="G45" s="503" t="s">
        <v>251</v>
      </c>
    </row>
    <row r="46" spans="1:8" x14ac:dyDescent="0.2">
      <c r="A46" s="290"/>
      <c r="B46" s="269" t="s">
        <v>296</v>
      </c>
      <c r="C46" s="283">
        <f>'BGS PTY25 Cost Alloc'!N248</f>
        <v>10651048</v>
      </c>
      <c r="D46" s="283">
        <f>C46</f>
        <v>10651048</v>
      </c>
      <c r="E46" s="283">
        <f>D46</f>
        <v>10651048</v>
      </c>
      <c r="F46" s="283">
        <f t="shared" si="2"/>
        <v>10651048</v>
      </c>
      <c r="G46" s="503"/>
    </row>
    <row r="47" spans="1:8" x14ac:dyDescent="0.2">
      <c r="A47" s="290"/>
      <c r="B47" s="284"/>
      <c r="C47" s="280"/>
      <c r="D47" s="280"/>
      <c r="E47" s="281"/>
      <c r="F47" s="280"/>
    </row>
    <row r="48" spans="1:8" x14ac:dyDescent="0.2">
      <c r="B48" s="272" t="s">
        <v>302</v>
      </c>
      <c r="C48" s="280"/>
      <c r="D48" s="280"/>
      <c r="E48" s="281"/>
      <c r="F48" s="280"/>
    </row>
    <row r="49" spans="1:8" x14ac:dyDescent="0.2">
      <c r="A49" s="290"/>
      <c r="B49" s="253" t="s">
        <v>25</v>
      </c>
      <c r="C49" s="255">
        <f t="shared" ref="C49:E50" si="3">+C$33*C$37/C$38*C41*C45+C$34*C$37/C$38*C45</f>
        <v>222807306.46981132</v>
      </c>
      <c r="D49" s="255">
        <f t="shared" si="3"/>
        <v>297076408.62641507</v>
      </c>
      <c r="E49" s="255">
        <f t="shared" si="3"/>
        <v>267368767.76377356</v>
      </c>
      <c r="F49" s="255">
        <f>SUM(C49:E49)</f>
        <v>787252482.8599999</v>
      </c>
    </row>
    <row r="50" spans="1:8" ht="15" x14ac:dyDescent="0.35">
      <c r="A50" s="290"/>
      <c r="B50" s="254" t="s">
        <v>26</v>
      </c>
      <c r="C50" s="256">
        <f t="shared" si="3"/>
        <v>341808207.37358493</v>
      </c>
      <c r="D50" s="256">
        <f t="shared" si="3"/>
        <v>455744276.49811321</v>
      </c>
      <c r="E50" s="256">
        <f t="shared" si="3"/>
        <v>410169848.84830189</v>
      </c>
      <c r="F50" s="256">
        <f>SUM(C50:E50)</f>
        <v>1207722332.72</v>
      </c>
    </row>
    <row r="51" spans="1:8" x14ac:dyDescent="0.2">
      <c r="A51" s="290"/>
      <c r="B51" s="269" t="s">
        <v>13</v>
      </c>
      <c r="C51" s="285">
        <f>+C50+C49</f>
        <v>564615513.84339619</v>
      </c>
      <c r="D51" s="285">
        <f>+D50+D49</f>
        <v>752820685.12452829</v>
      </c>
      <c r="E51" s="286">
        <f>+E50+E49</f>
        <v>677538616.61207545</v>
      </c>
      <c r="F51" s="285">
        <f>+F50+F49</f>
        <v>1994974815.5799999</v>
      </c>
      <c r="H51" s="287"/>
    </row>
    <row r="52" spans="1:8" x14ac:dyDescent="0.2">
      <c r="B52" s="269"/>
      <c r="C52" s="287"/>
      <c r="D52" s="287"/>
      <c r="E52" s="287"/>
      <c r="F52" s="287"/>
      <c r="H52" s="287"/>
    </row>
    <row r="53" spans="1:8" x14ac:dyDescent="0.2">
      <c r="B53" s="269" t="s">
        <v>297</v>
      </c>
      <c r="C53" s="287"/>
      <c r="D53" s="287" t="s">
        <v>251</v>
      </c>
      <c r="E53" s="287"/>
      <c r="F53" s="319">
        <f>ROUND(F51/(F45+F46),2)</f>
        <v>113.39</v>
      </c>
      <c r="G53" s="260" t="s">
        <v>326</v>
      </c>
      <c r="H53" s="288"/>
    </row>
    <row r="54" spans="1:8" x14ac:dyDescent="0.2">
      <c r="B54" s="269"/>
      <c r="C54" s="287"/>
      <c r="D54" s="287"/>
      <c r="E54" s="287"/>
      <c r="F54" s="319"/>
      <c r="H54" s="287"/>
    </row>
    <row r="55" spans="1:8" x14ac:dyDescent="0.2">
      <c r="B55" s="269"/>
      <c r="C55" s="287"/>
      <c r="D55" s="287"/>
      <c r="E55" s="287"/>
      <c r="F55" s="319"/>
      <c r="H55" s="287"/>
    </row>
    <row r="56" spans="1:8" x14ac:dyDescent="0.2">
      <c r="B56" s="269"/>
    </row>
    <row r="57" spans="1:8" x14ac:dyDescent="0.2">
      <c r="A57" s="263" t="s">
        <v>251</v>
      </c>
      <c r="B57" s="263"/>
      <c r="C57" s="263"/>
      <c r="D57" s="263"/>
      <c r="E57" s="263"/>
      <c r="F57" s="263"/>
    </row>
    <row r="58" spans="1:8" ht="15.95" customHeight="1" x14ac:dyDescent="0.2">
      <c r="A58" s="263"/>
      <c r="B58" s="263"/>
      <c r="C58" s="263"/>
      <c r="D58" s="263"/>
      <c r="E58" s="263"/>
      <c r="F58" s="263"/>
    </row>
    <row r="62" spans="1:8" x14ac:dyDescent="0.2">
      <c r="E62" s="290"/>
      <c r="F62" s="287"/>
    </row>
    <row r="64" spans="1:8" x14ac:dyDescent="0.2">
      <c r="E64" s="290"/>
      <c r="F64" s="406"/>
    </row>
    <row r="66" spans="5:6" x14ac:dyDescent="0.2">
      <c r="E66" s="290"/>
      <c r="F66" s="406"/>
    </row>
    <row r="68" spans="5:6" x14ac:dyDescent="0.2">
      <c r="F68" s="294"/>
    </row>
    <row r="70" spans="5:6" x14ac:dyDescent="0.2">
      <c r="F70" s="412"/>
    </row>
  </sheetData>
  <mergeCells count="10">
    <mergeCell ref="A26:G26"/>
    <mergeCell ref="A27:G27"/>
    <mergeCell ref="G45:G46"/>
    <mergeCell ref="B1:F1"/>
    <mergeCell ref="B2:F2"/>
    <mergeCell ref="B3:F3"/>
    <mergeCell ref="A5:F5"/>
    <mergeCell ref="E10:G10"/>
    <mergeCell ref="E18:H18"/>
    <mergeCell ref="E11:H11"/>
  </mergeCells>
  <pageMargins left="0.7" right="0.7" top="0.75" bottom="0.75" header="0.3" footer="0.3"/>
  <pageSetup scale="55" orientation="portrait" r:id="rId1"/>
  <headerFooter alignWithMargins="0">
    <oddFooter xml:space="preserve">&amp;C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06DBA-1024-4B47-9AEB-5A8C51B953E9}">
  <sheetPr>
    <pageSetUpPr fitToPage="1"/>
  </sheetPr>
  <dimension ref="A1:P70"/>
  <sheetViews>
    <sheetView view="pageBreakPreview" zoomScaleNormal="100" zoomScaleSheetLayoutView="100" workbookViewId="0"/>
  </sheetViews>
  <sheetFormatPr defaultColWidth="8.85546875" defaultRowHeight="12.75" x14ac:dyDescent="0.2"/>
  <cols>
    <col min="1" max="1" width="5.5703125" style="260" customWidth="1"/>
    <col min="2" max="2" width="40.42578125" style="260" customWidth="1"/>
    <col min="3" max="3" width="16.7109375" style="260" customWidth="1"/>
    <col min="4" max="4" width="16.85546875" style="260" customWidth="1"/>
    <col min="5" max="5" width="15.140625" style="260" customWidth="1"/>
    <col min="6" max="6" width="17.140625" style="260" customWidth="1"/>
    <col min="7" max="7" width="43.42578125" style="260" customWidth="1"/>
    <col min="8" max="8" width="20.7109375" style="260" customWidth="1"/>
    <col min="9" max="16384" width="8.85546875" style="260"/>
  </cols>
  <sheetData>
    <row r="1" spans="1:16" ht="15.75" x14ac:dyDescent="0.25">
      <c r="A1" s="12"/>
      <c r="B1" s="504" t="s">
        <v>69</v>
      </c>
      <c r="C1" s="504"/>
      <c r="D1" s="504"/>
      <c r="E1" s="504"/>
      <c r="F1" s="504"/>
    </row>
    <row r="2" spans="1:16" ht="15.75" x14ac:dyDescent="0.25">
      <c r="A2" s="12"/>
      <c r="B2" s="504" t="s">
        <v>343</v>
      </c>
      <c r="C2" s="504"/>
      <c r="D2" s="504"/>
      <c r="E2" s="504"/>
      <c r="F2" s="504"/>
    </row>
    <row r="3" spans="1:16" ht="33" customHeight="1" x14ac:dyDescent="0.25">
      <c r="A3" s="12"/>
      <c r="B3" s="505" t="s">
        <v>336</v>
      </c>
      <c r="C3" s="504"/>
      <c r="D3" s="504"/>
      <c r="E3" s="504"/>
      <c r="F3" s="504"/>
    </row>
    <row r="4" spans="1:16" ht="15.75" x14ac:dyDescent="0.25">
      <c r="A4" s="12"/>
      <c r="B4" s="140"/>
      <c r="C4" s="140"/>
      <c r="D4" s="140"/>
      <c r="E4" s="140"/>
      <c r="F4" s="140"/>
    </row>
    <row r="5" spans="1:16" ht="18" x14ac:dyDescent="0.25">
      <c r="A5" s="506" t="s">
        <v>400</v>
      </c>
      <c r="B5" s="506"/>
      <c r="C5" s="506"/>
      <c r="D5" s="506"/>
      <c r="E5" s="506"/>
      <c r="F5" s="506"/>
    </row>
    <row r="7" spans="1:16" ht="76.5" x14ac:dyDescent="0.2">
      <c r="C7" s="347" t="s">
        <v>401</v>
      </c>
      <c r="D7" s="348" t="s">
        <v>316</v>
      </c>
      <c r="E7" s="349"/>
      <c r="H7" s="260" t="s">
        <v>251</v>
      </c>
    </row>
    <row r="8" spans="1:16" ht="25.5" x14ac:dyDescent="0.2">
      <c r="A8" s="300">
        <v>1</v>
      </c>
      <c r="B8" s="354" t="s">
        <v>346</v>
      </c>
      <c r="C8" s="432">
        <v>335</v>
      </c>
      <c r="D8" s="434" t="s">
        <v>357</v>
      </c>
      <c r="E8" s="394"/>
      <c r="F8" s="394"/>
      <c r="G8" s="394"/>
    </row>
    <row r="9" spans="1:16" ht="14.45" customHeight="1" x14ac:dyDescent="0.2">
      <c r="A9" s="300">
        <v>2</v>
      </c>
      <c r="B9" s="378" t="s">
        <v>327</v>
      </c>
      <c r="C9" s="433">
        <v>333.69</v>
      </c>
      <c r="D9" s="395" t="s">
        <v>402</v>
      </c>
      <c r="E9" s="395"/>
      <c r="F9" s="395"/>
      <c r="G9" s="300"/>
    </row>
    <row r="10" spans="1:16" ht="14.45" customHeight="1" x14ac:dyDescent="0.2">
      <c r="A10" s="300">
        <v>3</v>
      </c>
      <c r="B10" s="377" t="s">
        <v>328</v>
      </c>
      <c r="C10" s="396">
        <f>C8-C9</f>
        <v>1.3100000000000023</v>
      </c>
      <c r="D10" s="507" t="s">
        <v>330</v>
      </c>
      <c r="E10" s="507"/>
      <c r="F10" s="507"/>
      <c r="G10" s="300"/>
      <c r="H10" s="290"/>
    </row>
    <row r="11" spans="1:16" x14ac:dyDescent="0.2">
      <c r="A11" s="300">
        <f>A10+1</f>
        <v>4</v>
      </c>
      <c r="B11" s="351" t="s">
        <v>317</v>
      </c>
      <c r="C11" s="397">
        <f>'BGS PTY25 Cost Alloc'!J164</f>
        <v>4594.2896539167605</v>
      </c>
      <c r="D11" s="501" t="s">
        <v>395</v>
      </c>
      <c r="E11" s="501"/>
      <c r="F11" s="501"/>
      <c r="G11" s="501"/>
      <c r="H11" s="290"/>
      <c r="I11" s="346"/>
    </row>
    <row r="12" spans="1:16" x14ac:dyDescent="0.2">
      <c r="A12" s="300">
        <f t="shared" ref="A12:A20" si="0">A11+1</f>
        <v>5</v>
      </c>
      <c r="B12" s="351" t="s">
        <v>318</v>
      </c>
      <c r="C12" s="398">
        <v>365</v>
      </c>
      <c r="D12" s="352"/>
      <c r="E12" s="352"/>
      <c r="F12" s="300"/>
      <c r="G12" s="300"/>
      <c r="H12" s="290"/>
      <c r="I12" s="407"/>
    </row>
    <row r="13" spans="1:16" x14ac:dyDescent="0.2">
      <c r="A13" s="300">
        <f t="shared" si="0"/>
        <v>6</v>
      </c>
      <c r="B13" s="351" t="s">
        <v>331</v>
      </c>
      <c r="C13" s="399">
        <f>C10*C11*C12</f>
        <v>2196759.5980203031</v>
      </c>
      <c r="D13" s="303" t="s">
        <v>319</v>
      </c>
      <c r="E13" s="352"/>
      <c r="F13" s="300"/>
      <c r="G13" s="300"/>
      <c r="H13" s="290"/>
      <c r="I13" s="290"/>
      <c r="O13" s="290"/>
    </row>
    <row r="14" spans="1:16" x14ac:dyDescent="0.2">
      <c r="A14" s="300">
        <f t="shared" si="0"/>
        <v>7</v>
      </c>
      <c r="B14" s="351" t="s">
        <v>320</v>
      </c>
      <c r="C14" s="431">
        <v>20</v>
      </c>
      <c r="D14" s="352"/>
      <c r="E14" s="352"/>
      <c r="F14" s="300"/>
      <c r="G14" s="300"/>
      <c r="I14" s="393"/>
      <c r="J14" s="360"/>
      <c r="O14" s="290"/>
      <c r="P14" s="360"/>
    </row>
    <row r="15" spans="1:16" x14ac:dyDescent="0.2">
      <c r="A15" s="300">
        <f t="shared" si="0"/>
        <v>8</v>
      </c>
      <c r="B15" s="351" t="s">
        <v>321</v>
      </c>
      <c r="C15" s="400">
        <f>E38</f>
        <v>53</v>
      </c>
      <c r="D15" s="352"/>
      <c r="E15" s="352"/>
      <c r="F15" s="300"/>
      <c r="G15" s="300"/>
      <c r="J15" s="360"/>
      <c r="P15" s="360"/>
    </row>
    <row r="16" spans="1:16" ht="18" customHeight="1" x14ac:dyDescent="0.2">
      <c r="A16" s="300">
        <f t="shared" si="0"/>
        <v>9</v>
      </c>
      <c r="B16" s="351" t="s">
        <v>332</v>
      </c>
      <c r="C16" s="401">
        <f>C14/C15</f>
        <v>0.37735849056603776</v>
      </c>
      <c r="D16" s="303" t="s">
        <v>322</v>
      </c>
      <c r="E16" s="352"/>
      <c r="F16" s="300"/>
      <c r="G16" s="300"/>
      <c r="J16" s="360"/>
      <c r="P16" s="360"/>
    </row>
    <row r="17" spans="1:7" s="353" customFormat="1" ht="18" customHeight="1" x14ac:dyDescent="0.2">
      <c r="A17" s="353">
        <f t="shared" si="0"/>
        <v>10</v>
      </c>
      <c r="B17" s="354" t="s">
        <v>333</v>
      </c>
      <c r="C17" s="399">
        <f>C13*C16</f>
        <v>828965.88604539749</v>
      </c>
      <c r="D17" s="303" t="s">
        <v>323</v>
      </c>
      <c r="E17" s="352"/>
      <c r="F17" s="300"/>
      <c r="G17" s="300"/>
    </row>
    <row r="18" spans="1:7" ht="25.5" x14ac:dyDescent="0.2">
      <c r="A18" s="300">
        <f t="shared" si="0"/>
        <v>11</v>
      </c>
      <c r="B18" s="301" t="s">
        <v>334</v>
      </c>
      <c r="C18" s="400">
        <f>F45+F46</f>
        <v>17593922</v>
      </c>
      <c r="D18" s="501" t="s">
        <v>396</v>
      </c>
      <c r="E18" s="501"/>
      <c r="F18" s="501"/>
      <c r="G18" s="501"/>
    </row>
    <row r="19" spans="1:7" ht="25.5" x14ac:dyDescent="0.2">
      <c r="A19" s="300">
        <f t="shared" si="0"/>
        <v>12</v>
      </c>
      <c r="B19" s="301" t="s">
        <v>335</v>
      </c>
      <c r="C19" s="402">
        <f>C18*C16</f>
        <v>6639215.8490566043</v>
      </c>
      <c r="D19" s="303" t="s">
        <v>324</v>
      </c>
      <c r="E19" s="352"/>
      <c r="F19" s="300"/>
      <c r="G19" s="300"/>
    </row>
    <row r="20" spans="1:7" ht="18" customHeight="1" x14ac:dyDescent="0.2">
      <c r="A20" s="260">
        <f t="shared" si="0"/>
        <v>13</v>
      </c>
      <c r="B20" s="350" t="s">
        <v>329</v>
      </c>
      <c r="C20" s="403">
        <f>ROUND(C17/C19,2)</f>
        <v>0.12</v>
      </c>
      <c r="D20" s="303" t="s">
        <v>325</v>
      </c>
      <c r="E20" s="352"/>
      <c r="F20" s="300"/>
      <c r="G20" s="300"/>
    </row>
    <row r="21" spans="1:7" x14ac:dyDescent="0.2">
      <c r="A21" s="300"/>
      <c r="B21" s="301"/>
      <c r="C21" s="302"/>
      <c r="D21" s="303"/>
      <c r="E21" s="352"/>
    </row>
    <row r="22" spans="1:7" x14ac:dyDescent="0.2">
      <c r="A22" s="260" t="s">
        <v>315</v>
      </c>
      <c r="B22" s="301"/>
      <c r="C22" s="302"/>
      <c r="D22" s="303"/>
      <c r="E22" s="352"/>
    </row>
    <row r="23" spans="1:7" x14ac:dyDescent="0.2">
      <c r="A23" s="408"/>
      <c r="B23" s="408"/>
      <c r="C23" s="408"/>
      <c r="D23" s="408"/>
      <c r="E23" s="408"/>
      <c r="F23" s="408"/>
      <c r="G23" s="408"/>
    </row>
    <row r="24" spans="1:7" x14ac:dyDescent="0.2">
      <c r="A24" s="408"/>
      <c r="B24" s="408"/>
      <c r="C24" s="408"/>
      <c r="D24" s="408"/>
      <c r="E24" s="408"/>
      <c r="F24" s="408"/>
      <c r="G24" s="408"/>
    </row>
    <row r="25" spans="1:7" x14ac:dyDescent="0.2">
      <c r="A25" s="261"/>
    </row>
    <row r="26" spans="1:7" ht="15.75" x14ac:dyDescent="0.25">
      <c r="A26" s="502" t="s">
        <v>300</v>
      </c>
      <c r="B26" s="502"/>
      <c r="C26" s="502"/>
      <c r="D26" s="502"/>
      <c r="E26" s="502"/>
      <c r="F26" s="502"/>
      <c r="G26" s="502"/>
    </row>
    <row r="27" spans="1:7" ht="15.75" x14ac:dyDescent="0.25">
      <c r="A27" s="514" t="s">
        <v>415</v>
      </c>
      <c r="B27" s="514"/>
      <c r="C27" s="514"/>
      <c r="D27" s="514"/>
      <c r="E27" s="514"/>
      <c r="F27" s="514"/>
      <c r="G27" s="514"/>
    </row>
    <row r="28" spans="1:7" x14ac:dyDescent="0.2">
      <c r="F28" s="263"/>
    </row>
    <row r="29" spans="1:7" ht="53.45" customHeight="1" x14ac:dyDescent="0.2">
      <c r="B29" s="262"/>
      <c r="C29" s="264" t="s">
        <v>360</v>
      </c>
      <c r="D29" s="264" t="s">
        <v>370</v>
      </c>
      <c r="E29" s="264" t="s">
        <v>399</v>
      </c>
      <c r="F29" s="264" t="s">
        <v>301</v>
      </c>
    </row>
    <row r="30" spans="1:7" x14ac:dyDescent="0.2">
      <c r="B30" s="262"/>
      <c r="C30" s="361" t="s">
        <v>358</v>
      </c>
      <c r="D30" s="361" t="s">
        <v>368</v>
      </c>
      <c r="E30" s="361" t="s">
        <v>398</v>
      </c>
      <c r="F30" s="264"/>
    </row>
    <row r="31" spans="1:7" ht="25.5" x14ac:dyDescent="0.2">
      <c r="B31" s="265"/>
      <c r="C31" s="266" t="s">
        <v>287</v>
      </c>
      <c r="D31" s="266" t="s">
        <v>288</v>
      </c>
      <c r="E31" s="267" t="s">
        <v>289</v>
      </c>
      <c r="F31" s="266"/>
    </row>
    <row r="32" spans="1:7" x14ac:dyDescent="0.2">
      <c r="C32" s="268"/>
      <c r="D32" s="268"/>
      <c r="E32" s="268"/>
      <c r="F32" s="298"/>
    </row>
    <row r="33" spans="1:8" x14ac:dyDescent="0.2">
      <c r="A33" s="290"/>
      <c r="B33" s="269" t="s">
        <v>290</v>
      </c>
      <c r="C33" s="270">
        <f>'Attachment 3 - 27-28'!E33</f>
        <v>113.27</v>
      </c>
      <c r="D33" s="270">
        <f>'Attachment 3 - 28-29'!E33</f>
        <v>113.39</v>
      </c>
      <c r="E33" s="410">
        <f>D35</f>
        <v>113.39</v>
      </c>
      <c r="F33" s="250"/>
      <c r="G33" s="260" t="s">
        <v>251</v>
      </c>
      <c r="H33" s="271"/>
    </row>
    <row r="34" spans="1:8" x14ac:dyDescent="0.2">
      <c r="A34" s="290"/>
      <c r="B34" s="272" t="s">
        <v>352</v>
      </c>
      <c r="C34" s="355">
        <f>C20</f>
        <v>0.12</v>
      </c>
      <c r="D34" s="413"/>
      <c r="E34" s="362"/>
      <c r="F34" s="250"/>
      <c r="G34" s="260" t="s">
        <v>251</v>
      </c>
      <c r="H34" s="271"/>
    </row>
    <row r="35" spans="1:8" x14ac:dyDescent="0.2">
      <c r="A35" s="290"/>
      <c r="C35" s="270">
        <f>C33+C34</f>
        <v>113.39</v>
      </c>
      <c r="D35" s="270">
        <f t="shared" ref="D35:E35" si="1">D33+D34</f>
        <v>113.39</v>
      </c>
      <c r="E35" s="270">
        <f t="shared" si="1"/>
        <v>113.39</v>
      </c>
      <c r="F35" s="250"/>
      <c r="H35" s="271"/>
    </row>
    <row r="36" spans="1:8" x14ac:dyDescent="0.2">
      <c r="B36" s="272" t="s">
        <v>292</v>
      </c>
      <c r="C36" s="270"/>
      <c r="D36" s="270"/>
      <c r="E36" s="270"/>
      <c r="F36" s="250"/>
      <c r="H36" s="271"/>
    </row>
    <row r="37" spans="1:8" x14ac:dyDescent="0.2">
      <c r="A37" s="290"/>
      <c r="B37" s="269" t="s">
        <v>291</v>
      </c>
      <c r="C37" s="379">
        <v>20</v>
      </c>
      <c r="D37" s="379">
        <v>18</v>
      </c>
      <c r="E37" s="379">
        <v>15</v>
      </c>
      <c r="F37" s="274"/>
    </row>
    <row r="38" spans="1:8" x14ac:dyDescent="0.2">
      <c r="A38" s="290"/>
      <c r="B38" s="269" t="s">
        <v>292</v>
      </c>
      <c r="C38" s="273">
        <f>C37+D37+E37</f>
        <v>53</v>
      </c>
      <c r="D38" s="273">
        <f>C38</f>
        <v>53</v>
      </c>
      <c r="E38" s="273">
        <f>C38</f>
        <v>53</v>
      </c>
      <c r="F38" s="251"/>
    </row>
    <row r="39" spans="1:8" x14ac:dyDescent="0.2">
      <c r="A39" s="290"/>
      <c r="B39" s="269"/>
      <c r="C39" s="252"/>
      <c r="D39" s="252"/>
      <c r="E39" s="252"/>
      <c r="F39" s="251"/>
    </row>
    <row r="40" spans="1:8" x14ac:dyDescent="0.2">
      <c r="B40" s="272" t="s">
        <v>293</v>
      </c>
      <c r="C40" s="275"/>
      <c r="D40" s="275"/>
      <c r="E40" s="276"/>
      <c r="F40" s="276"/>
      <c r="G40" s="260" t="s">
        <v>251</v>
      </c>
    </row>
    <row r="41" spans="1:8" x14ac:dyDescent="0.2">
      <c r="A41" s="290"/>
      <c r="B41" s="253" t="s">
        <v>25</v>
      </c>
      <c r="C41" s="277">
        <v>1</v>
      </c>
      <c r="D41" s="277">
        <v>1</v>
      </c>
      <c r="E41" s="277">
        <v>1</v>
      </c>
      <c r="F41" s="278"/>
    </row>
    <row r="42" spans="1:8" x14ac:dyDescent="0.2">
      <c r="A42" s="290"/>
      <c r="B42" s="253" t="s">
        <v>26</v>
      </c>
      <c r="C42" s="277">
        <v>1</v>
      </c>
      <c r="D42" s="277">
        <v>1</v>
      </c>
      <c r="E42" s="277">
        <v>1</v>
      </c>
      <c r="F42" s="279"/>
    </row>
    <row r="43" spans="1:8" x14ac:dyDescent="0.2">
      <c r="A43" s="290"/>
      <c r="B43" s="269"/>
      <c r="C43" s="280"/>
      <c r="D43" s="280"/>
      <c r="E43" s="281"/>
      <c r="F43" s="280"/>
    </row>
    <row r="44" spans="1:8" ht="25.5" customHeight="1" x14ac:dyDescent="0.2">
      <c r="B44" s="282" t="s">
        <v>294</v>
      </c>
      <c r="C44" s="280"/>
      <c r="D44" s="281"/>
      <c r="E44" s="281"/>
      <c r="F44" s="280"/>
    </row>
    <row r="45" spans="1:8" x14ac:dyDescent="0.2">
      <c r="A45" s="290"/>
      <c r="B45" s="269" t="s">
        <v>295</v>
      </c>
      <c r="C45" s="283">
        <f>'BGS PTY25 Cost Alloc'!N247</f>
        <v>6942874</v>
      </c>
      <c r="D45" s="283">
        <f>C45</f>
        <v>6942874</v>
      </c>
      <c r="E45" s="283">
        <f>D45</f>
        <v>6942874</v>
      </c>
      <c r="F45" s="283">
        <f t="shared" ref="F45:F46" si="2">E45</f>
        <v>6942874</v>
      </c>
      <c r="G45" s="503" t="s">
        <v>251</v>
      </c>
    </row>
    <row r="46" spans="1:8" x14ac:dyDescent="0.2">
      <c r="A46" s="290"/>
      <c r="B46" s="269" t="s">
        <v>296</v>
      </c>
      <c r="C46" s="283">
        <f>'BGS PTY25 Cost Alloc'!N248</f>
        <v>10651048</v>
      </c>
      <c r="D46" s="283">
        <f>C46</f>
        <v>10651048</v>
      </c>
      <c r="E46" s="283">
        <f>D46</f>
        <v>10651048</v>
      </c>
      <c r="F46" s="283">
        <f t="shared" si="2"/>
        <v>10651048</v>
      </c>
      <c r="G46" s="503"/>
    </row>
    <row r="47" spans="1:8" x14ac:dyDescent="0.2">
      <c r="A47" s="290"/>
      <c r="B47" s="284"/>
      <c r="C47" s="280"/>
      <c r="D47" s="280"/>
      <c r="E47" s="281"/>
      <c r="F47" s="280"/>
    </row>
    <row r="48" spans="1:8" x14ac:dyDescent="0.2">
      <c r="B48" s="272" t="s">
        <v>302</v>
      </c>
      <c r="C48" s="280"/>
      <c r="D48" s="280"/>
      <c r="E48" s="281"/>
      <c r="F48" s="280"/>
    </row>
    <row r="49" spans="1:8" x14ac:dyDescent="0.2">
      <c r="A49" s="290"/>
      <c r="B49" s="253" t="s">
        <v>25</v>
      </c>
      <c r="C49" s="255">
        <f t="shared" ref="C49:E50" si="3">+C$33*C$37/C$38*C41*C45+C$34*C$37/C$38*C45</f>
        <v>297076408.62641507</v>
      </c>
      <c r="D49" s="255">
        <f t="shared" si="3"/>
        <v>267368767.76377356</v>
      </c>
      <c r="E49" s="255">
        <f t="shared" si="3"/>
        <v>222807306.46981132</v>
      </c>
      <c r="F49" s="255">
        <f>SUM(C49:E49)</f>
        <v>787252482.86000001</v>
      </c>
    </row>
    <row r="50" spans="1:8" ht="15" x14ac:dyDescent="0.35">
      <c r="A50" s="290"/>
      <c r="B50" s="254" t="s">
        <v>26</v>
      </c>
      <c r="C50" s="256">
        <f t="shared" si="3"/>
        <v>455744276.49811321</v>
      </c>
      <c r="D50" s="256">
        <f t="shared" si="3"/>
        <v>410169848.84830189</v>
      </c>
      <c r="E50" s="256">
        <f t="shared" si="3"/>
        <v>341808207.37358493</v>
      </c>
      <c r="F50" s="256">
        <f>SUM(C50:E50)</f>
        <v>1207722332.72</v>
      </c>
    </row>
    <row r="51" spans="1:8" x14ac:dyDescent="0.2">
      <c r="A51" s="290"/>
      <c r="B51" s="269" t="s">
        <v>13</v>
      </c>
      <c r="C51" s="285">
        <f>+C50+C49</f>
        <v>752820685.12452829</v>
      </c>
      <c r="D51" s="285">
        <f>+D50+D49</f>
        <v>677538616.61207545</v>
      </c>
      <c r="E51" s="286">
        <f>+E50+E49</f>
        <v>564615513.84339619</v>
      </c>
      <c r="F51" s="285">
        <f>+F50+F49</f>
        <v>1994974815.5799999</v>
      </c>
      <c r="H51" s="287"/>
    </row>
    <row r="52" spans="1:8" x14ac:dyDescent="0.2">
      <c r="B52" s="269"/>
      <c r="C52" s="287"/>
      <c r="D52" s="287"/>
      <c r="E52" s="287"/>
      <c r="F52" s="287"/>
      <c r="H52" s="287"/>
    </row>
    <row r="53" spans="1:8" x14ac:dyDescent="0.2">
      <c r="B53" s="269" t="s">
        <v>297</v>
      </c>
      <c r="C53" s="287"/>
      <c r="D53" s="287" t="s">
        <v>251</v>
      </c>
      <c r="E53" s="287"/>
      <c r="F53" s="319">
        <f>ROUND(F51/(F45+F46),2)</f>
        <v>113.39</v>
      </c>
      <c r="G53" s="260" t="s">
        <v>326</v>
      </c>
      <c r="H53" s="288"/>
    </row>
    <row r="54" spans="1:8" x14ac:dyDescent="0.2">
      <c r="B54" s="269"/>
      <c r="C54" s="287"/>
      <c r="D54" s="287"/>
      <c r="E54" s="287"/>
      <c r="F54" s="319"/>
      <c r="H54" s="287"/>
    </row>
    <row r="55" spans="1:8" x14ac:dyDescent="0.2">
      <c r="B55" s="269"/>
      <c r="C55" s="287"/>
      <c r="D55" s="287"/>
      <c r="E55" s="287"/>
      <c r="F55" s="319"/>
      <c r="H55" s="287"/>
    </row>
    <row r="56" spans="1:8" x14ac:dyDescent="0.2">
      <c r="B56" s="269"/>
    </row>
    <row r="57" spans="1:8" x14ac:dyDescent="0.2">
      <c r="A57" s="263" t="s">
        <v>251</v>
      </c>
      <c r="B57" s="263"/>
      <c r="C57" s="263"/>
      <c r="D57" s="263"/>
      <c r="E57" s="263"/>
      <c r="F57" s="263"/>
    </row>
    <row r="58" spans="1:8" ht="15.95" customHeight="1" x14ac:dyDescent="0.2">
      <c r="A58" s="263"/>
      <c r="B58" s="263"/>
      <c r="C58" s="263"/>
      <c r="D58" s="263"/>
      <c r="E58" s="263"/>
      <c r="F58" s="263"/>
    </row>
    <row r="62" spans="1:8" x14ac:dyDescent="0.2">
      <c r="E62" s="290"/>
      <c r="F62" s="287"/>
    </row>
    <row r="64" spans="1:8" x14ac:dyDescent="0.2">
      <c r="E64" s="290"/>
      <c r="F64" s="406"/>
    </row>
    <row r="66" spans="5:6" x14ac:dyDescent="0.2">
      <c r="E66" s="290"/>
      <c r="F66" s="406"/>
    </row>
    <row r="68" spans="5:6" x14ac:dyDescent="0.2">
      <c r="F68" s="294"/>
    </row>
    <row r="70" spans="5:6" x14ac:dyDescent="0.2">
      <c r="F70" s="412"/>
    </row>
  </sheetData>
  <mergeCells count="10">
    <mergeCell ref="D18:G18"/>
    <mergeCell ref="A26:G26"/>
    <mergeCell ref="A27:G27"/>
    <mergeCell ref="G45:G46"/>
    <mergeCell ref="B1:F1"/>
    <mergeCell ref="B2:F2"/>
    <mergeCell ref="B3:F3"/>
    <mergeCell ref="A5:F5"/>
    <mergeCell ref="D10:F10"/>
    <mergeCell ref="D11:G11"/>
  </mergeCells>
  <pageMargins left="0.7" right="0.7" top="0.75" bottom="0.75" header="0.3" footer="0.3"/>
  <pageSetup scale="59" orientation="portrait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BGS PTY23 Cost Alloc</vt:lpstr>
      <vt:lpstr>BGS PTY24 Cost Alloc</vt:lpstr>
      <vt:lpstr>BGS PTY25 Cost Alloc</vt:lpstr>
      <vt:lpstr>Composite Cost Allocation</vt:lpstr>
      <vt:lpstr>Attachment 3 - 27-28</vt:lpstr>
      <vt:lpstr>Attachment 3 - 28-29</vt:lpstr>
      <vt:lpstr>Attachment 3 - 29-30</vt:lpstr>
      <vt:lpstr>'Attachment 3 - 27-28'!Print_Area</vt:lpstr>
      <vt:lpstr>'Attachment 3 - 28-29'!Print_Area</vt:lpstr>
      <vt:lpstr>'Attachment 3 - 29-30'!Print_Area</vt:lpstr>
      <vt:lpstr>'BGS PTY23 Cost Alloc'!Print_Area</vt:lpstr>
      <vt:lpstr>'BGS PTY24 Cost Alloc'!Print_Area</vt:lpstr>
      <vt:lpstr>'BGS PTY25 Cost Alloc'!Print_Area</vt:lpstr>
      <vt:lpstr>'Composite Cost Allocation'!Print_Area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2026-06-30T13:36:59Z</dcterms:created>
  <dcterms:modified xsi:type="dcterms:W3CDTF">2026-06-30T13:37:12Z</dcterms:modified>
</cp:coreProperties>
</file>